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 activeTab="12"/>
  </bookViews>
  <sheets>
    <sheet name="Skovmusen" sheetId="1" r:id="rId1"/>
    <sheet name="Oksbøl bhv" sheetId="2" r:id="rId2"/>
    <sheet name="Billum" sheetId="3" r:id="rId3"/>
    <sheet name="Outrup" sheetId="4" r:id="rId4"/>
    <sheet name="Nr. Nebel" sheetId="5" r:id="rId5"/>
    <sheet name="Lunde" sheetId="6" r:id="rId6"/>
    <sheet name="Møllehuset" sheetId="7" r:id="rId7"/>
    <sheet name="Horne" sheetId="8" r:id="rId8"/>
    <sheet name="Ansager" sheetId="9" r:id="rId9"/>
    <sheet name="Starup" sheetId="10" r:id="rId10"/>
    <sheet name="Agerbæk" sheetId="11" r:id="rId11"/>
    <sheet name="Årre" sheetId="12" r:id="rId12"/>
    <sheet name="Ølgod" sheetId="13" r:id="rId13"/>
    <sheet name="Svalereden" sheetId="14" r:id="rId14"/>
    <sheet name="Børnehave før tid 2013" sheetId="15" r:id="rId15"/>
    <sheet name="OKSBØL" sheetId="16" r:id="rId16"/>
    <sheet name="Billum 280514" sheetId="17" r:id="rId17"/>
    <sheet name="Oksbøl bhv 280514" sheetId="18" r:id="rId18"/>
    <sheet name="Ark2" sheetId="19" r:id="rId19"/>
  </sheets>
  <calcPr calcId="145621"/>
</workbook>
</file>

<file path=xl/calcChain.xml><?xml version="1.0" encoding="utf-8"?>
<calcChain xmlns="http://schemas.openxmlformats.org/spreadsheetml/2006/main">
  <c r="B28" i="18" l="1"/>
  <c r="B17" i="18"/>
  <c r="N17" i="18"/>
  <c r="N33" i="18"/>
  <c r="M32" i="18"/>
  <c r="L32" i="18"/>
  <c r="K32" i="18"/>
  <c r="J32" i="18"/>
  <c r="I32" i="18"/>
  <c r="H32" i="18"/>
  <c r="G32" i="18"/>
  <c r="F32" i="18"/>
  <c r="E32" i="18"/>
  <c r="D32" i="18"/>
  <c r="C32" i="18"/>
  <c r="N30" i="18"/>
  <c r="N29" i="18"/>
  <c r="N28" i="18"/>
  <c r="N22" i="18"/>
  <c r="M21" i="18"/>
  <c r="L21" i="18"/>
  <c r="K21" i="18"/>
  <c r="J21" i="18"/>
  <c r="I21" i="18"/>
  <c r="H21" i="18"/>
  <c r="G21" i="18"/>
  <c r="F21" i="18"/>
  <c r="E21" i="18"/>
  <c r="D21" i="18"/>
  <c r="C21" i="18"/>
  <c r="N19" i="18"/>
  <c r="N18" i="18"/>
  <c r="N9" i="18"/>
  <c r="M8" i="18"/>
  <c r="L8" i="18"/>
  <c r="K8" i="18"/>
  <c r="J8" i="18"/>
  <c r="I8" i="18"/>
  <c r="H8" i="18"/>
  <c r="G8" i="18"/>
  <c r="F8" i="18"/>
  <c r="E8" i="18"/>
  <c r="D8" i="18"/>
  <c r="C8" i="18"/>
  <c r="N6" i="18"/>
  <c r="N5" i="18"/>
  <c r="N4" i="18"/>
  <c r="B21" i="18" l="1"/>
  <c r="N21" i="18" s="1"/>
  <c r="B32" i="18"/>
  <c r="N32" i="18" s="1"/>
  <c r="B8" i="18"/>
  <c r="N8" i="18" s="1"/>
  <c r="N34" i="17"/>
  <c r="M33" i="17"/>
  <c r="L33" i="17"/>
  <c r="K33" i="17"/>
  <c r="J33" i="17"/>
  <c r="I33" i="17"/>
  <c r="H33" i="17"/>
  <c r="G33" i="17"/>
  <c r="F33" i="17"/>
  <c r="E33" i="17"/>
  <c r="D33" i="17"/>
  <c r="C33" i="17"/>
  <c r="N31" i="17"/>
  <c r="N30" i="17"/>
  <c r="B29" i="17"/>
  <c r="N29" i="17" s="1"/>
  <c r="N23" i="17"/>
  <c r="M22" i="17"/>
  <c r="L22" i="17"/>
  <c r="K22" i="17"/>
  <c r="J22" i="17"/>
  <c r="I22" i="17"/>
  <c r="H22" i="17"/>
  <c r="G22" i="17"/>
  <c r="F22" i="17"/>
  <c r="E22" i="17"/>
  <c r="D22" i="17"/>
  <c r="C22" i="17"/>
  <c r="N20" i="17"/>
  <c r="N19" i="17"/>
  <c r="B18" i="17"/>
  <c r="N18" i="17" s="1"/>
  <c r="N12" i="17"/>
  <c r="M11" i="17"/>
  <c r="L11" i="17"/>
  <c r="K11" i="17"/>
  <c r="J11" i="17"/>
  <c r="I11" i="17"/>
  <c r="H11" i="17"/>
  <c r="G11" i="17"/>
  <c r="F11" i="17"/>
  <c r="E11" i="17"/>
  <c r="D11" i="17"/>
  <c r="C11" i="17"/>
  <c r="N9" i="17"/>
  <c r="N8" i="17"/>
  <c r="B7" i="17"/>
  <c r="N7" i="17" s="1"/>
  <c r="B22" i="17" l="1"/>
  <c r="N22" i="17" s="1"/>
  <c r="B11" i="17"/>
  <c r="N11" i="17" s="1"/>
  <c r="B33" i="17"/>
  <c r="N33" i="17" s="1"/>
  <c r="B27" i="16"/>
  <c r="N27" i="16"/>
  <c r="B17" i="16"/>
  <c r="N17" i="16"/>
  <c r="B6" i="16"/>
  <c r="N32" i="16"/>
  <c r="M31" i="16"/>
  <c r="L31" i="16"/>
  <c r="K31" i="16"/>
  <c r="J31" i="16"/>
  <c r="I31" i="16"/>
  <c r="H31" i="16"/>
  <c r="G31" i="16"/>
  <c r="F31" i="16"/>
  <c r="E31" i="16"/>
  <c r="D31" i="16"/>
  <c r="C31" i="16"/>
  <c r="N29" i="16"/>
  <c r="N28" i="16"/>
  <c r="N22" i="16"/>
  <c r="M21" i="16"/>
  <c r="L21" i="16"/>
  <c r="K21" i="16"/>
  <c r="J21" i="16"/>
  <c r="I21" i="16"/>
  <c r="H21" i="16"/>
  <c r="G21" i="16"/>
  <c r="F21" i="16"/>
  <c r="E21" i="16"/>
  <c r="D21" i="16"/>
  <c r="C21" i="16"/>
  <c r="N19" i="16"/>
  <c r="N18" i="16"/>
  <c r="N11" i="16"/>
  <c r="M10" i="16"/>
  <c r="L10" i="16"/>
  <c r="K10" i="16"/>
  <c r="J10" i="16"/>
  <c r="I10" i="16"/>
  <c r="H10" i="16"/>
  <c r="G10" i="16"/>
  <c r="F10" i="16"/>
  <c r="E10" i="16"/>
  <c r="D10" i="16"/>
  <c r="C10" i="16"/>
  <c r="N8" i="16"/>
  <c r="N7" i="16"/>
  <c r="N6" i="16"/>
  <c r="B31" i="16" l="1"/>
  <c r="N31" i="16" s="1"/>
  <c r="B21" i="16"/>
  <c r="N21" i="16" s="1"/>
  <c r="B10" i="16"/>
  <c r="N10" i="16" s="1"/>
  <c r="B29" i="2"/>
  <c r="N29" i="2" s="1"/>
  <c r="N34" i="2"/>
  <c r="M33" i="2"/>
  <c r="L33" i="2"/>
  <c r="K33" i="2"/>
  <c r="J33" i="2"/>
  <c r="I33" i="2"/>
  <c r="H33" i="2"/>
  <c r="G33" i="2"/>
  <c r="F33" i="2"/>
  <c r="E33" i="2"/>
  <c r="D33" i="2"/>
  <c r="C33" i="2"/>
  <c r="N31" i="2"/>
  <c r="N30" i="2"/>
  <c r="B41" i="2"/>
  <c r="N41" i="2" s="1"/>
  <c r="N42" i="2"/>
  <c r="N43" i="2"/>
  <c r="C45" i="2"/>
  <c r="D45" i="2"/>
  <c r="E45" i="2"/>
  <c r="F45" i="2"/>
  <c r="G45" i="2"/>
  <c r="H45" i="2"/>
  <c r="I45" i="2"/>
  <c r="J45" i="2"/>
  <c r="K45" i="2"/>
  <c r="L45" i="2"/>
  <c r="M45" i="2"/>
  <c r="B33" i="2" l="1"/>
  <c r="N33" i="2" s="1"/>
  <c r="B45" i="2"/>
  <c r="N45" i="2" s="1"/>
  <c r="B29" i="4"/>
  <c r="M5" i="4"/>
  <c r="L5" i="4"/>
  <c r="M10" i="13"/>
  <c r="K10" i="13"/>
  <c r="L14" i="1"/>
  <c r="N46" i="2"/>
  <c r="B33" i="1"/>
  <c r="N38" i="1"/>
  <c r="K5" i="1"/>
  <c r="L5" i="1"/>
  <c r="L43" i="13"/>
  <c r="K44" i="13"/>
  <c r="K43" i="13"/>
  <c r="B43" i="13"/>
  <c r="M5" i="13"/>
  <c r="L5" i="13"/>
  <c r="K5" i="13"/>
  <c r="L6" i="13" l="1"/>
  <c r="K6" i="13"/>
  <c r="J5" i="13"/>
  <c r="I5" i="13"/>
  <c r="H5" i="13"/>
  <c r="H6" i="13"/>
  <c r="L29" i="10"/>
  <c r="K29" i="10"/>
  <c r="J29" i="10"/>
  <c r="I29" i="10"/>
  <c r="H29" i="10"/>
  <c r="G29" i="10"/>
  <c r="F29" i="10"/>
  <c r="E29" i="10"/>
  <c r="D29" i="10"/>
  <c r="C29" i="10"/>
  <c r="B29" i="10"/>
  <c r="L5" i="10"/>
  <c r="K5" i="10"/>
  <c r="B26" i="14" l="1"/>
  <c r="M5" i="14"/>
  <c r="L5" i="14"/>
  <c r="K5" i="14"/>
  <c r="J5" i="14"/>
  <c r="B31" i="12"/>
  <c r="M5" i="12"/>
  <c r="L6" i="12"/>
  <c r="L5" i="12"/>
  <c r="K5" i="12"/>
  <c r="H5" i="12"/>
  <c r="B28" i="9"/>
  <c r="N28" i="9" s="1"/>
  <c r="B27" i="9"/>
  <c r="N27" i="9" s="1"/>
  <c r="K5" i="9"/>
  <c r="J5" i="9"/>
  <c r="I5" i="9"/>
  <c r="H5" i="9"/>
  <c r="B29" i="7"/>
  <c r="N29" i="7" s="1"/>
  <c r="B28" i="7"/>
  <c r="M5" i="7"/>
  <c r="J5" i="7"/>
  <c r="I5" i="7"/>
  <c r="L5" i="7"/>
  <c r="K5" i="7"/>
  <c r="N31" i="14"/>
  <c r="M30" i="14"/>
  <c r="L30" i="14"/>
  <c r="K30" i="14"/>
  <c r="J30" i="14"/>
  <c r="I30" i="14"/>
  <c r="H30" i="14"/>
  <c r="G30" i="14"/>
  <c r="F30" i="14"/>
  <c r="E30" i="14"/>
  <c r="D30" i="14"/>
  <c r="C30" i="14"/>
  <c r="N28" i="14"/>
  <c r="N27" i="14"/>
  <c r="N26" i="14"/>
  <c r="B30" i="14"/>
  <c r="N51" i="13"/>
  <c r="N48" i="13"/>
  <c r="M47" i="13"/>
  <c r="J47" i="13"/>
  <c r="I47" i="13"/>
  <c r="H47" i="13"/>
  <c r="G47" i="13"/>
  <c r="F47" i="13"/>
  <c r="E47" i="13"/>
  <c r="D47" i="13"/>
  <c r="C47" i="13"/>
  <c r="B47" i="13"/>
  <c r="N45" i="13"/>
  <c r="N44" i="13"/>
  <c r="L47" i="13"/>
  <c r="K47" i="13"/>
  <c r="N43" i="13"/>
  <c r="B62" i="13"/>
  <c r="F62" i="13"/>
  <c r="N62" i="13" s="1"/>
  <c r="K62" i="13"/>
  <c r="K66" i="13" s="1"/>
  <c r="L62" i="13"/>
  <c r="L66" i="13" s="1"/>
  <c r="N63" i="13"/>
  <c r="N64" i="13"/>
  <c r="B66" i="13"/>
  <c r="C66" i="13"/>
  <c r="D66" i="13"/>
  <c r="E66" i="13"/>
  <c r="F66" i="13"/>
  <c r="G66" i="13"/>
  <c r="H66" i="13"/>
  <c r="I66" i="13"/>
  <c r="J66" i="13"/>
  <c r="M66" i="13"/>
  <c r="N67" i="13"/>
  <c r="N70" i="13"/>
  <c r="N36" i="12"/>
  <c r="M35" i="12"/>
  <c r="L35" i="12"/>
  <c r="K35" i="12"/>
  <c r="J35" i="12"/>
  <c r="I35" i="12"/>
  <c r="H35" i="12"/>
  <c r="G35" i="12"/>
  <c r="F35" i="12"/>
  <c r="E35" i="12"/>
  <c r="D35" i="12"/>
  <c r="C35" i="12"/>
  <c r="N33" i="12"/>
  <c r="N32" i="12"/>
  <c r="B35" i="12"/>
  <c r="N34" i="10"/>
  <c r="M33" i="10"/>
  <c r="L33" i="10"/>
  <c r="K33" i="10"/>
  <c r="G33" i="10"/>
  <c r="F33" i="10"/>
  <c r="D33" i="10"/>
  <c r="C33" i="10"/>
  <c r="N31" i="10"/>
  <c r="N30" i="10"/>
  <c r="J33" i="10"/>
  <c r="I33" i="10"/>
  <c r="H33" i="10"/>
  <c r="E33" i="10"/>
  <c r="B33" i="10"/>
  <c r="N32" i="9"/>
  <c r="L31" i="9"/>
  <c r="K31" i="9"/>
  <c r="H31" i="9"/>
  <c r="G31" i="9"/>
  <c r="D31" i="9"/>
  <c r="C31" i="9"/>
  <c r="N29" i="9"/>
  <c r="M31" i="9"/>
  <c r="J31" i="9"/>
  <c r="I31" i="9"/>
  <c r="F31" i="9"/>
  <c r="E31" i="9"/>
  <c r="N33" i="7"/>
  <c r="M32" i="7"/>
  <c r="L32" i="7"/>
  <c r="K32" i="7"/>
  <c r="J32" i="7"/>
  <c r="I32" i="7"/>
  <c r="H32" i="7"/>
  <c r="G32" i="7"/>
  <c r="F32" i="7"/>
  <c r="E32" i="7"/>
  <c r="D32" i="7"/>
  <c r="C32" i="7"/>
  <c r="N30" i="7"/>
  <c r="B31" i="9" l="1"/>
  <c r="N31" i="9" s="1"/>
  <c r="B32" i="7"/>
  <c r="N32" i="7" s="1"/>
  <c r="N30" i="14"/>
  <c r="N47" i="13"/>
  <c r="N66" i="13"/>
  <c r="N35" i="12"/>
  <c r="N31" i="12"/>
  <c r="N33" i="10"/>
  <c r="N29" i="10"/>
  <c r="N28" i="7"/>
  <c r="B29" i="6"/>
  <c r="C48" i="11"/>
  <c r="B48" i="11"/>
  <c r="L11" i="11"/>
  <c r="K11" i="11"/>
  <c r="J11" i="11"/>
  <c r="I11" i="11"/>
  <c r="B42" i="11"/>
  <c r="B46" i="11" s="1"/>
  <c r="N51" i="11"/>
  <c r="M46" i="11"/>
  <c r="L46" i="11"/>
  <c r="K46" i="11"/>
  <c r="J46" i="11"/>
  <c r="I46" i="11"/>
  <c r="H46" i="11"/>
  <c r="G46" i="11"/>
  <c r="F46" i="11"/>
  <c r="E46" i="11"/>
  <c r="D46" i="11"/>
  <c r="C46" i="11"/>
  <c r="N44" i="11"/>
  <c r="N43" i="11"/>
  <c r="B60" i="11"/>
  <c r="N60" i="11"/>
  <c r="N61" i="11"/>
  <c r="N62" i="11"/>
  <c r="B64" i="11"/>
  <c r="C64" i="11"/>
  <c r="N64" i="11" s="1"/>
  <c r="D64" i="11"/>
  <c r="E64" i="11"/>
  <c r="F64" i="11"/>
  <c r="G64" i="11"/>
  <c r="H64" i="11"/>
  <c r="I64" i="11"/>
  <c r="J64" i="11"/>
  <c r="K64" i="11"/>
  <c r="L64" i="11"/>
  <c r="M64" i="11"/>
  <c r="B66" i="11"/>
  <c r="C66" i="11"/>
  <c r="N66" i="11"/>
  <c r="N69" i="11"/>
  <c r="L5" i="11"/>
  <c r="K5" i="11"/>
  <c r="J5" i="11"/>
  <c r="I5" i="11"/>
  <c r="F5" i="11"/>
  <c r="N36" i="5"/>
  <c r="B31" i="5"/>
  <c r="K6" i="5"/>
  <c r="I6" i="5"/>
  <c r="M35" i="5"/>
  <c r="L35" i="5"/>
  <c r="K35" i="5"/>
  <c r="J35" i="5"/>
  <c r="I35" i="5"/>
  <c r="H35" i="5"/>
  <c r="G35" i="5"/>
  <c r="F35" i="5"/>
  <c r="E35" i="5"/>
  <c r="D35" i="5"/>
  <c r="C35" i="5"/>
  <c r="N33" i="5"/>
  <c r="N32" i="5"/>
  <c r="N31" i="5"/>
  <c r="B30" i="4"/>
  <c r="J5" i="4"/>
  <c r="I5" i="4"/>
  <c r="H5" i="4"/>
  <c r="G5" i="4"/>
  <c r="N34" i="4"/>
  <c r="M33" i="4"/>
  <c r="L33" i="4"/>
  <c r="K33" i="4"/>
  <c r="J33" i="4"/>
  <c r="I33" i="4"/>
  <c r="H33" i="4"/>
  <c r="G33" i="4"/>
  <c r="F33" i="4"/>
  <c r="E33" i="4"/>
  <c r="D33" i="4"/>
  <c r="C33" i="4"/>
  <c r="N31" i="4"/>
  <c r="N30" i="4"/>
  <c r="B27" i="8"/>
  <c r="B28" i="8"/>
  <c r="N28" i="8" s="1"/>
  <c r="N27" i="8"/>
  <c r="K5" i="8"/>
  <c r="J5" i="8"/>
  <c r="I5" i="8"/>
  <c r="N32" i="8"/>
  <c r="M31" i="8"/>
  <c r="L31" i="8"/>
  <c r="K31" i="8"/>
  <c r="J31" i="8"/>
  <c r="I31" i="8"/>
  <c r="H31" i="8"/>
  <c r="G31" i="8"/>
  <c r="F31" i="8"/>
  <c r="E31" i="8"/>
  <c r="D31" i="8"/>
  <c r="C31" i="8"/>
  <c r="N29" i="8"/>
  <c r="N44" i="8"/>
  <c r="M43" i="8"/>
  <c r="L43" i="8"/>
  <c r="K43" i="8"/>
  <c r="J43" i="8"/>
  <c r="I43" i="8"/>
  <c r="H43" i="8"/>
  <c r="G43" i="8"/>
  <c r="F43" i="8"/>
  <c r="E43" i="8"/>
  <c r="D43" i="8"/>
  <c r="C43" i="8"/>
  <c r="N41" i="8"/>
  <c r="N40" i="8"/>
  <c r="B39" i="8"/>
  <c r="B43" i="8" s="1"/>
  <c r="B27" i="3"/>
  <c r="L5" i="3"/>
  <c r="N21" i="3"/>
  <c r="N10" i="3"/>
  <c r="N32" i="3"/>
  <c r="M31" i="3"/>
  <c r="L31" i="3"/>
  <c r="K31" i="3"/>
  <c r="J31" i="3"/>
  <c r="I31" i="3"/>
  <c r="H31" i="3"/>
  <c r="G31" i="3"/>
  <c r="F31" i="3"/>
  <c r="E31" i="3"/>
  <c r="D31" i="3"/>
  <c r="C31" i="3"/>
  <c r="N29" i="3"/>
  <c r="N28" i="3"/>
  <c r="N27" i="3"/>
  <c r="B30" i="6"/>
  <c r="N30" i="6" s="1"/>
  <c r="N34" i="6"/>
  <c r="M33" i="6"/>
  <c r="L33" i="6"/>
  <c r="K33" i="6"/>
  <c r="J33" i="6"/>
  <c r="I33" i="6"/>
  <c r="H33" i="6"/>
  <c r="G33" i="6"/>
  <c r="F33" i="6"/>
  <c r="E33" i="6"/>
  <c r="D33" i="6"/>
  <c r="C33" i="6"/>
  <c r="N31" i="6"/>
  <c r="N48" i="11" l="1"/>
  <c r="N46" i="11"/>
  <c r="N42" i="11"/>
  <c r="B35" i="5"/>
  <c r="N35" i="5" s="1"/>
  <c r="B33" i="4"/>
  <c r="N33" i="4" s="1"/>
  <c r="N29" i="4"/>
  <c r="N43" i="8"/>
  <c r="N39" i="8"/>
  <c r="B31" i="8"/>
  <c r="N31" i="8" s="1"/>
  <c r="B31" i="3"/>
  <c r="N31" i="3" s="1"/>
  <c r="B33" i="6"/>
  <c r="N33" i="6"/>
  <c r="N29" i="6"/>
  <c r="N70" i="6"/>
  <c r="N45" i="6"/>
  <c r="I5" i="1" l="1"/>
  <c r="B67" i="12" l="1"/>
  <c r="N67" i="12" s="1"/>
  <c r="B66" i="12"/>
  <c r="B54" i="12"/>
  <c r="N54" i="12" s="1"/>
  <c r="N71" i="12"/>
  <c r="M70" i="12"/>
  <c r="L70" i="12"/>
  <c r="K70" i="12"/>
  <c r="J70" i="12"/>
  <c r="I70" i="12"/>
  <c r="H70" i="12"/>
  <c r="G70" i="12"/>
  <c r="F70" i="12"/>
  <c r="E70" i="12"/>
  <c r="D70" i="12"/>
  <c r="C70" i="12"/>
  <c r="N68" i="12"/>
  <c r="N66" i="12"/>
  <c r="N59" i="12"/>
  <c r="M58" i="12"/>
  <c r="L58" i="12"/>
  <c r="K58" i="12"/>
  <c r="J58" i="12"/>
  <c r="I58" i="12"/>
  <c r="H58" i="12"/>
  <c r="G58" i="12"/>
  <c r="F58" i="12"/>
  <c r="E58" i="12"/>
  <c r="D58" i="12"/>
  <c r="C58" i="12"/>
  <c r="N56" i="12"/>
  <c r="N55" i="12"/>
  <c r="B43" i="12"/>
  <c r="B47" i="12" s="1"/>
  <c r="N48" i="12"/>
  <c r="M47" i="12"/>
  <c r="L47" i="12"/>
  <c r="K47" i="12"/>
  <c r="J47" i="12"/>
  <c r="I47" i="12"/>
  <c r="H47" i="12"/>
  <c r="G47" i="12"/>
  <c r="F47" i="12"/>
  <c r="E47" i="12"/>
  <c r="D47" i="12"/>
  <c r="C47" i="12"/>
  <c r="N45" i="12"/>
  <c r="N44" i="12"/>
  <c r="B79" i="12"/>
  <c r="B80" i="12"/>
  <c r="K6" i="12"/>
  <c r="N41" i="1"/>
  <c r="M37" i="1"/>
  <c r="L37" i="1"/>
  <c r="K37" i="1"/>
  <c r="J37" i="1"/>
  <c r="I37" i="1"/>
  <c r="H37" i="1"/>
  <c r="G37" i="1"/>
  <c r="F37" i="1"/>
  <c r="E37" i="1"/>
  <c r="D37" i="1"/>
  <c r="C37" i="1"/>
  <c r="N35" i="1"/>
  <c r="N34" i="1"/>
  <c r="N33" i="1"/>
  <c r="M14" i="1"/>
  <c r="K14" i="1"/>
  <c r="I14" i="1"/>
  <c r="H14" i="1"/>
  <c r="B70" i="12" l="1"/>
  <c r="N70" i="12" s="1"/>
  <c r="N47" i="12"/>
  <c r="B58" i="12"/>
  <c r="N58" i="12" s="1"/>
  <c r="N43" i="12"/>
  <c r="B37" i="1"/>
  <c r="N37" i="1" s="1"/>
  <c r="L62" i="10"/>
  <c r="L66" i="10" s="1"/>
  <c r="J62" i="10"/>
  <c r="J66" i="10" s="1"/>
  <c r="E62" i="10"/>
  <c r="E66" i="10" s="1"/>
  <c r="D62" i="10"/>
  <c r="B62" i="10"/>
  <c r="N67" i="10"/>
  <c r="M66" i="10"/>
  <c r="K66" i="10"/>
  <c r="G66" i="10"/>
  <c r="C66" i="10"/>
  <c r="N64" i="10"/>
  <c r="N63" i="10"/>
  <c r="I66" i="10"/>
  <c r="H66" i="10"/>
  <c r="F66" i="10"/>
  <c r="M51" i="10"/>
  <c r="L51" i="10"/>
  <c r="I51" i="10"/>
  <c r="H51" i="10"/>
  <c r="G51" i="10"/>
  <c r="F51" i="10"/>
  <c r="E51" i="10"/>
  <c r="D51" i="10"/>
  <c r="C51" i="10"/>
  <c r="B51" i="10"/>
  <c r="L40" i="10"/>
  <c r="K40" i="10"/>
  <c r="J40" i="10"/>
  <c r="I40" i="10"/>
  <c r="H40" i="10"/>
  <c r="N62" i="10" l="1"/>
  <c r="B66" i="10"/>
  <c r="D66" i="10"/>
  <c r="F40" i="10"/>
  <c r="G40" i="10" s="1"/>
  <c r="G44" i="10" s="1"/>
  <c r="E40" i="10"/>
  <c r="E44" i="10" s="1"/>
  <c r="D40" i="10"/>
  <c r="D44" i="10" s="1"/>
  <c r="C40" i="10"/>
  <c r="B40" i="10"/>
  <c r="B44" i="10" s="1"/>
  <c r="J5" i="10"/>
  <c r="N56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N53" i="10"/>
  <c r="N52" i="10"/>
  <c r="N51" i="10"/>
  <c r="N45" i="10"/>
  <c r="M44" i="10"/>
  <c r="L44" i="10"/>
  <c r="K44" i="10"/>
  <c r="F44" i="10"/>
  <c r="C44" i="10"/>
  <c r="N42" i="10"/>
  <c r="N41" i="10"/>
  <c r="J44" i="10"/>
  <c r="I44" i="10"/>
  <c r="H44" i="10"/>
  <c r="N66" i="10" l="1"/>
  <c r="N55" i="10"/>
  <c r="N44" i="10"/>
  <c r="N40" i="10"/>
  <c r="K6" i="15" l="1"/>
  <c r="J6" i="15"/>
  <c r="K8" i="15"/>
  <c r="I6" i="15"/>
  <c r="H6" i="15"/>
  <c r="H8" i="15" s="1"/>
  <c r="G6" i="15"/>
  <c r="G8" i="15" s="1"/>
  <c r="F6" i="15"/>
  <c r="F8" i="15" s="1"/>
  <c r="E6" i="15"/>
  <c r="D6" i="15"/>
  <c r="D8" i="15" s="1"/>
  <c r="C6" i="15"/>
  <c r="B6" i="15"/>
  <c r="N9" i="15"/>
  <c r="M8" i="15"/>
  <c r="L8" i="15"/>
  <c r="J8" i="15"/>
  <c r="I8" i="15"/>
  <c r="E8" i="15"/>
  <c r="C8" i="15"/>
  <c r="N5" i="15"/>
  <c r="N4" i="15"/>
  <c r="N6" i="15" l="1"/>
  <c r="B8" i="15"/>
  <c r="N8" i="15" s="1"/>
  <c r="J10" i="13"/>
  <c r="N10" i="13" s="1"/>
  <c r="B56" i="1"/>
  <c r="N56" i="1" s="1"/>
  <c r="G14" i="1"/>
  <c r="F14" i="1"/>
  <c r="E14" i="1"/>
  <c r="N14" i="1" l="1"/>
  <c r="B41" i="4"/>
  <c r="B58" i="2"/>
  <c r="N63" i="2"/>
  <c r="G5" i="2"/>
  <c r="H5" i="1"/>
  <c r="G5" i="1"/>
  <c r="N13" i="13" l="1"/>
  <c r="G5" i="13"/>
  <c r="F5" i="13"/>
  <c r="E5" i="13"/>
  <c r="D5" i="13"/>
  <c r="C5" i="13"/>
  <c r="B5" i="13"/>
  <c r="N46" i="4"/>
  <c r="M45" i="4"/>
  <c r="L45" i="4"/>
  <c r="K45" i="4"/>
  <c r="J45" i="4"/>
  <c r="I45" i="4"/>
  <c r="H45" i="4"/>
  <c r="G45" i="4"/>
  <c r="F45" i="4"/>
  <c r="E45" i="4"/>
  <c r="D45" i="4"/>
  <c r="C45" i="4"/>
  <c r="N43" i="4"/>
  <c r="B42" i="4"/>
  <c r="N42" i="4" s="1"/>
  <c r="B40" i="6"/>
  <c r="M44" i="6"/>
  <c r="L44" i="6"/>
  <c r="K44" i="6"/>
  <c r="J44" i="6"/>
  <c r="I44" i="6"/>
  <c r="H44" i="6"/>
  <c r="G44" i="6"/>
  <c r="F44" i="6"/>
  <c r="E44" i="6"/>
  <c r="D44" i="6"/>
  <c r="C44" i="6"/>
  <c r="N42" i="6"/>
  <c r="B41" i="6"/>
  <c r="N41" i="6" s="1"/>
  <c r="B55" i="5"/>
  <c r="G6" i="5"/>
  <c r="F6" i="5"/>
  <c r="N29" i="11"/>
  <c r="N11" i="11"/>
  <c r="E5" i="11"/>
  <c r="D5" i="11"/>
  <c r="C5" i="11"/>
  <c r="C7" i="11"/>
  <c r="B5" i="11"/>
  <c r="B7" i="11"/>
  <c r="B39" i="7"/>
  <c r="B40" i="7"/>
  <c r="N10" i="7"/>
  <c r="C40" i="9"/>
  <c r="D40" i="9"/>
  <c r="E40" i="9"/>
  <c r="F40" i="9"/>
  <c r="G40" i="9"/>
  <c r="H40" i="9"/>
  <c r="I40" i="9"/>
  <c r="J40" i="9"/>
  <c r="K40" i="9"/>
  <c r="L40" i="9"/>
  <c r="M40" i="9"/>
  <c r="B40" i="9"/>
  <c r="B39" i="9"/>
  <c r="I5" i="10"/>
  <c r="G5" i="12"/>
  <c r="F5" i="12"/>
  <c r="E5" i="12"/>
  <c r="D5" i="12"/>
  <c r="B5" i="12"/>
  <c r="B37" i="14"/>
  <c r="B45" i="4" l="1"/>
  <c r="N45" i="4" s="1"/>
  <c r="B44" i="6"/>
  <c r="N44" i="6" s="1"/>
  <c r="N41" i="4"/>
  <c r="N40" i="6"/>
  <c r="G75" i="2"/>
  <c r="J73" i="10" l="1"/>
  <c r="I73" i="10"/>
  <c r="H73" i="10"/>
  <c r="H77" i="10" s="1"/>
  <c r="E73" i="10"/>
  <c r="E77" i="10" s="1"/>
  <c r="D73" i="10"/>
  <c r="C73" i="10"/>
  <c r="B73" i="10"/>
  <c r="H5" i="10"/>
  <c r="G5" i="10"/>
  <c r="F5" i="10"/>
  <c r="E5" i="10"/>
  <c r="D5" i="10"/>
  <c r="C5" i="10"/>
  <c r="B43" i="9"/>
  <c r="N39" i="9"/>
  <c r="N10" i="9"/>
  <c r="D5" i="8"/>
  <c r="C5" i="8"/>
  <c r="B5" i="8"/>
  <c r="B9" i="8" s="1"/>
  <c r="M9" i="8"/>
  <c r="L9" i="8"/>
  <c r="K9" i="8"/>
  <c r="J9" i="8"/>
  <c r="I9" i="8"/>
  <c r="H9" i="8"/>
  <c r="G9" i="8"/>
  <c r="F9" i="8"/>
  <c r="E9" i="8"/>
  <c r="D9" i="8"/>
  <c r="C9" i="8"/>
  <c r="N7" i="8"/>
  <c r="N6" i="8"/>
  <c r="N60" i="5"/>
  <c r="M59" i="5"/>
  <c r="L59" i="5"/>
  <c r="K59" i="5"/>
  <c r="J59" i="5"/>
  <c r="I59" i="5"/>
  <c r="H59" i="5"/>
  <c r="G59" i="5"/>
  <c r="F59" i="5"/>
  <c r="E59" i="5"/>
  <c r="D59" i="5"/>
  <c r="C59" i="5"/>
  <c r="B59" i="5"/>
  <c r="N57" i="5"/>
  <c r="N56" i="5"/>
  <c r="N55" i="5"/>
  <c r="N42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N39" i="14"/>
  <c r="N38" i="14"/>
  <c r="N37" i="14"/>
  <c r="N84" i="12"/>
  <c r="M83" i="12"/>
  <c r="L83" i="12"/>
  <c r="K83" i="12"/>
  <c r="J83" i="12"/>
  <c r="I83" i="12"/>
  <c r="H83" i="12"/>
  <c r="G83" i="12"/>
  <c r="F83" i="12"/>
  <c r="E83" i="12"/>
  <c r="D83" i="12"/>
  <c r="C83" i="12"/>
  <c r="B83" i="12"/>
  <c r="N81" i="12"/>
  <c r="N80" i="12"/>
  <c r="N79" i="12"/>
  <c r="N78" i="10"/>
  <c r="M77" i="10"/>
  <c r="L77" i="10"/>
  <c r="K77" i="10"/>
  <c r="J77" i="10"/>
  <c r="I77" i="10"/>
  <c r="G77" i="10"/>
  <c r="F77" i="10"/>
  <c r="D77" i="10"/>
  <c r="C77" i="10"/>
  <c r="B77" i="10"/>
  <c r="N75" i="10"/>
  <c r="N74" i="10"/>
  <c r="N44" i="9"/>
  <c r="M43" i="9"/>
  <c r="L43" i="9"/>
  <c r="K43" i="9"/>
  <c r="J43" i="9"/>
  <c r="I43" i="9"/>
  <c r="H43" i="9"/>
  <c r="G43" i="9"/>
  <c r="F43" i="9"/>
  <c r="E43" i="9"/>
  <c r="D43" i="9"/>
  <c r="C43" i="9"/>
  <c r="N41" i="9"/>
  <c r="N44" i="7"/>
  <c r="M43" i="7"/>
  <c r="L43" i="7"/>
  <c r="K43" i="7"/>
  <c r="J43" i="7"/>
  <c r="I43" i="7"/>
  <c r="H43" i="7"/>
  <c r="G43" i="7"/>
  <c r="F43" i="7"/>
  <c r="E43" i="7"/>
  <c r="D43" i="7"/>
  <c r="C43" i="7"/>
  <c r="N41" i="7"/>
  <c r="N40" i="7"/>
  <c r="N39" i="7"/>
  <c r="B38" i="3"/>
  <c r="B42" i="3" s="1"/>
  <c r="N43" i="3"/>
  <c r="M42" i="3"/>
  <c r="L42" i="3"/>
  <c r="K42" i="3"/>
  <c r="J42" i="3"/>
  <c r="I42" i="3"/>
  <c r="H42" i="3"/>
  <c r="G42" i="3"/>
  <c r="F42" i="3"/>
  <c r="E42" i="3"/>
  <c r="D42" i="3"/>
  <c r="C42" i="3"/>
  <c r="N40" i="3"/>
  <c r="N39" i="3"/>
  <c r="N38" i="3"/>
  <c r="B49" i="1"/>
  <c r="N54" i="1"/>
  <c r="M53" i="1"/>
  <c r="L53" i="1"/>
  <c r="K53" i="1"/>
  <c r="J53" i="1"/>
  <c r="I53" i="1"/>
  <c r="H53" i="1"/>
  <c r="G53" i="1"/>
  <c r="F53" i="1"/>
  <c r="E53" i="1"/>
  <c r="D53" i="1"/>
  <c r="B53" i="1"/>
  <c r="N51" i="1"/>
  <c r="N50" i="1"/>
  <c r="C53" i="1"/>
  <c r="M62" i="2"/>
  <c r="L62" i="2"/>
  <c r="K62" i="2"/>
  <c r="J62" i="2"/>
  <c r="I62" i="2"/>
  <c r="H62" i="2"/>
  <c r="G62" i="2"/>
  <c r="F62" i="2"/>
  <c r="E62" i="2"/>
  <c r="D62" i="2"/>
  <c r="C62" i="2"/>
  <c r="N60" i="2"/>
  <c r="B59" i="2"/>
  <c r="N59" i="2" s="1"/>
  <c r="N41" i="14" l="1"/>
  <c r="B62" i="2"/>
  <c r="N62" i="2" s="1"/>
  <c r="N59" i="5"/>
  <c r="N83" i="12"/>
  <c r="N73" i="10"/>
  <c r="N77" i="10"/>
  <c r="N40" i="9"/>
  <c r="N43" i="9"/>
  <c r="N9" i="8"/>
  <c r="N5" i="8"/>
  <c r="B43" i="7"/>
  <c r="N43" i="7" s="1"/>
  <c r="N42" i="3"/>
  <c r="N53" i="1"/>
  <c r="N49" i="1"/>
  <c r="N58" i="2"/>
  <c r="N77" i="4"/>
  <c r="B65" i="6"/>
  <c r="N73" i="6"/>
  <c r="B69" i="4"/>
  <c r="B50" i="6"/>
  <c r="B70" i="4"/>
  <c r="N70" i="4" s="1"/>
  <c r="B55" i="4"/>
  <c r="B56" i="4"/>
  <c r="H86" i="4"/>
  <c r="G86" i="4"/>
  <c r="N74" i="4"/>
  <c r="M73" i="4"/>
  <c r="L73" i="4"/>
  <c r="K73" i="4"/>
  <c r="J73" i="4"/>
  <c r="I73" i="4"/>
  <c r="H73" i="4"/>
  <c r="G73" i="4"/>
  <c r="F73" i="4"/>
  <c r="E73" i="4"/>
  <c r="D73" i="4"/>
  <c r="C73" i="4"/>
  <c r="N71" i="4"/>
  <c r="N60" i="4"/>
  <c r="M59" i="4"/>
  <c r="L59" i="4"/>
  <c r="K59" i="4"/>
  <c r="J59" i="4"/>
  <c r="I59" i="4"/>
  <c r="H59" i="4"/>
  <c r="G59" i="4"/>
  <c r="F59" i="4"/>
  <c r="E59" i="4"/>
  <c r="D59" i="4"/>
  <c r="C59" i="4"/>
  <c r="N57" i="4"/>
  <c r="N56" i="4"/>
  <c r="N55" i="4"/>
  <c r="B73" i="4" l="1"/>
  <c r="N73" i="4"/>
  <c r="N69" i="4"/>
  <c r="F6" i="4" l="1"/>
  <c r="F5" i="4"/>
  <c r="M69" i="6" l="1"/>
  <c r="L69" i="6"/>
  <c r="K69" i="6"/>
  <c r="J69" i="6"/>
  <c r="I69" i="6"/>
  <c r="H69" i="6"/>
  <c r="G69" i="6"/>
  <c r="F69" i="6"/>
  <c r="E69" i="6"/>
  <c r="D69" i="6"/>
  <c r="C69" i="6"/>
  <c r="N67" i="6"/>
  <c r="B66" i="6"/>
  <c r="N66" i="6" s="1"/>
  <c r="B69" i="6"/>
  <c r="F6" i="6"/>
  <c r="N69" i="6" l="1"/>
  <c r="N65" i="6"/>
  <c r="E5" i="1"/>
  <c r="C75" i="2" l="1"/>
  <c r="D75" i="2"/>
  <c r="D79" i="2" s="1"/>
  <c r="N76" i="2"/>
  <c r="N77" i="2"/>
  <c r="B79" i="2"/>
  <c r="E79" i="2"/>
  <c r="F79" i="2"/>
  <c r="G79" i="2"/>
  <c r="H79" i="2"/>
  <c r="I79" i="2"/>
  <c r="J79" i="2"/>
  <c r="K79" i="2"/>
  <c r="L79" i="2"/>
  <c r="M79" i="2"/>
  <c r="N80" i="2"/>
  <c r="N81" i="2"/>
  <c r="N75" i="2" l="1"/>
  <c r="C79" i="2"/>
  <c r="N79" i="2" s="1"/>
  <c r="B81" i="6" l="1"/>
  <c r="N81" i="6" s="1"/>
  <c r="E80" i="6"/>
  <c r="D80" i="6"/>
  <c r="D84" i="6" s="1"/>
  <c r="C80" i="6"/>
  <c r="C84" i="6" s="1"/>
  <c r="B80" i="6"/>
  <c r="B84" i="6" s="1"/>
  <c r="M84" i="6"/>
  <c r="L84" i="6"/>
  <c r="K84" i="6"/>
  <c r="J84" i="6"/>
  <c r="I84" i="6"/>
  <c r="H84" i="6"/>
  <c r="G84" i="6"/>
  <c r="F84" i="6"/>
  <c r="N82" i="6"/>
  <c r="E84" i="6"/>
  <c r="M90" i="4"/>
  <c r="L90" i="4"/>
  <c r="K90" i="4"/>
  <c r="J90" i="4"/>
  <c r="I90" i="4"/>
  <c r="H90" i="4"/>
  <c r="G90" i="4"/>
  <c r="F90" i="4"/>
  <c r="C90" i="4"/>
  <c r="N88" i="4"/>
  <c r="D87" i="4"/>
  <c r="N87" i="4" s="1"/>
  <c r="E86" i="4"/>
  <c r="E90" i="4" s="1"/>
  <c r="D86" i="4"/>
  <c r="B86" i="4"/>
  <c r="B90" i="4" s="1"/>
  <c r="B44" i="5"/>
  <c r="B48" i="5" s="1"/>
  <c r="N49" i="5"/>
  <c r="M48" i="5"/>
  <c r="L48" i="5"/>
  <c r="K48" i="5"/>
  <c r="J48" i="5"/>
  <c r="I48" i="5"/>
  <c r="H48" i="5"/>
  <c r="G48" i="5"/>
  <c r="F48" i="5"/>
  <c r="E48" i="5"/>
  <c r="D48" i="5"/>
  <c r="C48" i="5"/>
  <c r="N46" i="5"/>
  <c r="N45" i="5"/>
  <c r="C54" i="6"/>
  <c r="B51" i="6"/>
  <c r="N51" i="6" s="1"/>
  <c r="M54" i="6"/>
  <c r="L54" i="6"/>
  <c r="K54" i="6"/>
  <c r="J54" i="6"/>
  <c r="I54" i="6"/>
  <c r="H54" i="6"/>
  <c r="G54" i="6"/>
  <c r="F54" i="6"/>
  <c r="N52" i="6"/>
  <c r="E54" i="6"/>
  <c r="D54" i="6"/>
  <c r="D90" i="4" l="1"/>
  <c r="N90" i="4" s="1"/>
  <c r="B54" i="6"/>
  <c r="N54" i="6" s="1"/>
  <c r="N80" i="6"/>
  <c r="N84" i="6"/>
  <c r="B59" i="4"/>
  <c r="N59" i="4" s="1"/>
  <c r="N86" i="4"/>
  <c r="N48" i="5"/>
  <c r="N44" i="5"/>
  <c r="N50" i="6"/>
  <c r="M9" i="7"/>
  <c r="L9" i="7"/>
  <c r="K9" i="7"/>
  <c r="J9" i="7"/>
  <c r="I9" i="7"/>
  <c r="H9" i="7"/>
  <c r="G9" i="7"/>
  <c r="F9" i="7"/>
  <c r="E9" i="7"/>
  <c r="D9" i="7"/>
  <c r="B9" i="7"/>
  <c r="D5" i="7"/>
  <c r="C5" i="7"/>
  <c r="C9" i="7" s="1"/>
  <c r="B5" i="7"/>
  <c r="N11" i="5"/>
  <c r="F10" i="5"/>
  <c r="C6" i="5"/>
  <c r="C10" i="5" s="1"/>
  <c r="B6" i="5"/>
  <c r="E6" i="6"/>
  <c r="D6" i="6"/>
  <c r="D10" i="6" s="1"/>
  <c r="C6" i="6"/>
  <c r="B6" i="6"/>
  <c r="B7" i="6"/>
  <c r="N7" i="6" s="1"/>
  <c r="E5" i="4"/>
  <c r="E9" i="4" s="1"/>
  <c r="D5" i="4"/>
  <c r="D6" i="4"/>
  <c r="B5" i="4"/>
  <c r="B9" i="4" s="1"/>
  <c r="M9" i="14"/>
  <c r="L9" i="14"/>
  <c r="K9" i="14"/>
  <c r="J9" i="14"/>
  <c r="I9" i="14"/>
  <c r="H9" i="14"/>
  <c r="G9" i="14"/>
  <c r="F9" i="14"/>
  <c r="E9" i="14"/>
  <c r="D9" i="14"/>
  <c r="C9" i="14"/>
  <c r="B9" i="14"/>
  <c r="N7" i="14"/>
  <c r="N6" i="14"/>
  <c r="N5" i="14"/>
  <c r="M9" i="13"/>
  <c r="L9" i="13"/>
  <c r="K9" i="13"/>
  <c r="J9" i="13"/>
  <c r="I9" i="13"/>
  <c r="H9" i="13"/>
  <c r="G9" i="13"/>
  <c r="F9" i="13"/>
  <c r="E9" i="13"/>
  <c r="D9" i="13"/>
  <c r="C9" i="13"/>
  <c r="B9" i="13"/>
  <c r="N7" i="13"/>
  <c r="N6" i="13"/>
  <c r="N5" i="13"/>
  <c r="M9" i="12"/>
  <c r="L9" i="12"/>
  <c r="K9" i="12"/>
  <c r="J9" i="12"/>
  <c r="I9" i="12"/>
  <c r="H9" i="12"/>
  <c r="G9" i="12"/>
  <c r="F9" i="12"/>
  <c r="E9" i="12"/>
  <c r="D9" i="12"/>
  <c r="C9" i="12"/>
  <c r="B9" i="12"/>
  <c r="N7" i="12"/>
  <c r="N6" i="12"/>
  <c r="N5" i="12"/>
  <c r="M9" i="11"/>
  <c r="L9" i="11"/>
  <c r="K9" i="11"/>
  <c r="J9" i="11"/>
  <c r="I9" i="11"/>
  <c r="H9" i="11"/>
  <c r="G9" i="11"/>
  <c r="F9" i="11"/>
  <c r="E9" i="11"/>
  <c r="D9" i="11"/>
  <c r="C9" i="11"/>
  <c r="B9" i="11"/>
  <c r="N7" i="11"/>
  <c r="N6" i="11"/>
  <c r="N5" i="11"/>
  <c r="M9" i="10"/>
  <c r="L9" i="10"/>
  <c r="K9" i="10"/>
  <c r="J9" i="10"/>
  <c r="I9" i="10"/>
  <c r="H9" i="10"/>
  <c r="G9" i="10"/>
  <c r="F9" i="10"/>
  <c r="E9" i="10"/>
  <c r="D9" i="10"/>
  <c r="C9" i="10"/>
  <c r="B9" i="10"/>
  <c r="N7" i="10"/>
  <c r="N6" i="10"/>
  <c r="N5" i="10"/>
  <c r="M9" i="9"/>
  <c r="L9" i="9"/>
  <c r="K9" i="9"/>
  <c r="J9" i="9"/>
  <c r="I9" i="9"/>
  <c r="H9" i="9"/>
  <c r="G9" i="9"/>
  <c r="F9" i="9"/>
  <c r="E9" i="9"/>
  <c r="D9" i="9"/>
  <c r="C9" i="9"/>
  <c r="B9" i="9"/>
  <c r="N7" i="9"/>
  <c r="N6" i="9"/>
  <c r="N5" i="9"/>
  <c r="N7" i="7"/>
  <c r="N6" i="7"/>
  <c r="M10" i="6"/>
  <c r="L10" i="6"/>
  <c r="K10" i="6"/>
  <c r="J10" i="6"/>
  <c r="I10" i="6"/>
  <c r="H10" i="6"/>
  <c r="G10" i="6"/>
  <c r="F10" i="6"/>
  <c r="E10" i="6"/>
  <c r="N8" i="6"/>
  <c r="M10" i="5"/>
  <c r="L10" i="5"/>
  <c r="K10" i="5"/>
  <c r="J10" i="5"/>
  <c r="I10" i="5"/>
  <c r="H10" i="5"/>
  <c r="G10" i="5"/>
  <c r="E10" i="5"/>
  <c r="D10" i="5"/>
  <c r="N8" i="5"/>
  <c r="N7" i="5"/>
  <c r="M9" i="4"/>
  <c r="L9" i="4"/>
  <c r="K9" i="4"/>
  <c r="J9" i="4"/>
  <c r="I9" i="4"/>
  <c r="H9" i="4"/>
  <c r="G9" i="4"/>
  <c r="F9" i="4"/>
  <c r="C9" i="4"/>
  <c r="N7" i="4"/>
  <c r="D9" i="4" l="1"/>
  <c r="N9" i="4" s="1"/>
  <c r="N9" i="13"/>
  <c r="N9" i="11"/>
  <c r="N9" i="12"/>
  <c r="N9" i="14"/>
  <c r="N9" i="10"/>
  <c r="N9" i="9"/>
  <c r="N5" i="4"/>
  <c r="N6" i="6"/>
  <c r="C10" i="6"/>
  <c r="B10" i="6"/>
  <c r="N6" i="4"/>
  <c r="N9" i="7"/>
  <c r="N5" i="7"/>
  <c r="N6" i="5"/>
  <c r="B10" i="5"/>
  <c r="N10" i="5"/>
  <c r="M9" i="3"/>
  <c r="L9" i="3"/>
  <c r="K9" i="3"/>
  <c r="J9" i="3"/>
  <c r="I9" i="3"/>
  <c r="H9" i="3"/>
  <c r="G9" i="3"/>
  <c r="F9" i="3"/>
  <c r="E9" i="3"/>
  <c r="B9" i="3"/>
  <c r="N7" i="3"/>
  <c r="N6" i="3"/>
  <c r="D9" i="3"/>
  <c r="N5" i="3"/>
  <c r="N9" i="3" l="1"/>
  <c r="N10" i="6"/>
  <c r="C9" i="3"/>
  <c r="N69" i="1"/>
  <c r="D66" i="1" l="1"/>
  <c r="C62" i="1"/>
  <c r="C66" i="1" s="1"/>
  <c r="D5" i="1"/>
  <c r="C5" i="1"/>
  <c r="N67" i="1"/>
  <c r="M66" i="1"/>
  <c r="L66" i="1"/>
  <c r="K66" i="1"/>
  <c r="J66" i="1"/>
  <c r="I66" i="1"/>
  <c r="H66" i="1"/>
  <c r="G66" i="1"/>
  <c r="F66" i="1"/>
  <c r="E66" i="1"/>
  <c r="N64" i="1"/>
  <c r="B63" i="1"/>
  <c r="N63" i="1" s="1"/>
  <c r="B62" i="1"/>
  <c r="D5" i="2"/>
  <c r="C5" i="2"/>
  <c r="B66" i="1" l="1"/>
  <c r="N66" i="1" s="1"/>
  <c r="N62" i="1"/>
  <c r="N11" i="2"/>
  <c r="N10" i="2"/>
  <c r="B5" i="1"/>
  <c r="B6" i="1"/>
  <c r="N6" i="1" s="1"/>
  <c r="M9" i="2"/>
  <c r="L9" i="2"/>
  <c r="K9" i="2"/>
  <c r="J9" i="2"/>
  <c r="I9" i="2"/>
  <c r="H9" i="2"/>
  <c r="G9" i="2"/>
  <c r="F9" i="2"/>
  <c r="D9" i="2"/>
  <c r="N7" i="2"/>
  <c r="N6" i="2"/>
  <c r="E9" i="2"/>
  <c r="C9" i="2"/>
  <c r="B9" i="2"/>
  <c r="N10" i="1"/>
  <c r="L9" i="1"/>
  <c r="J9" i="1"/>
  <c r="I9" i="1"/>
  <c r="H9" i="1"/>
  <c r="G9" i="1"/>
  <c r="F9" i="1"/>
  <c r="E9" i="1"/>
  <c r="D9" i="1"/>
  <c r="C9" i="1"/>
  <c r="N7" i="1"/>
  <c r="M9" i="1"/>
  <c r="K9" i="1"/>
  <c r="N21" i="2"/>
  <c r="M20" i="2"/>
  <c r="L20" i="2"/>
  <c r="K20" i="2"/>
  <c r="J20" i="2"/>
  <c r="I20" i="2"/>
  <c r="H20" i="2"/>
  <c r="G20" i="2"/>
  <c r="F20" i="2"/>
  <c r="E20" i="2"/>
  <c r="D20" i="2"/>
  <c r="C20" i="2"/>
  <c r="N18" i="2"/>
  <c r="B17" i="2"/>
  <c r="N17" i="2" s="1"/>
  <c r="B16" i="2"/>
  <c r="B20" i="2" s="1"/>
  <c r="N26" i="1"/>
  <c r="M25" i="1"/>
  <c r="L25" i="1"/>
  <c r="K25" i="1"/>
  <c r="J25" i="1"/>
  <c r="I25" i="1"/>
  <c r="H25" i="1"/>
  <c r="G25" i="1"/>
  <c r="F25" i="1"/>
  <c r="E25" i="1"/>
  <c r="D25" i="1"/>
  <c r="N23" i="1"/>
  <c r="N22" i="1"/>
  <c r="C21" i="1"/>
  <c r="C25" i="1" s="1"/>
  <c r="B21" i="1"/>
  <c r="N21" i="1" l="1"/>
  <c r="B9" i="1"/>
  <c r="B25" i="1"/>
  <c r="N25" i="1" s="1"/>
  <c r="N20" i="2"/>
  <c r="N9" i="2"/>
  <c r="N5" i="2"/>
  <c r="N9" i="1"/>
  <c r="N5" i="1"/>
  <c r="N16" i="2"/>
</calcChain>
</file>

<file path=xl/sharedStrings.xml><?xml version="1.0" encoding="utf-8"?>
<sst xmlns="http://schemas.openxmlformats.org/spreadsheetml/2006/main" count="2063" uniqueCount="345">
  <si>
    <t>Prognosen for 2013/2014 pr. 15.07.2013</t>
  </si>
  <si>
    <t>Skovmusen</t>
  </si>
  <si>
    <t>august</t>
  </si>
  <si>
    <t>september</t>
  </si>
  <si>
    <t>oktober</t>
  </si>
  <si>
    <t xml:space="preserve">november </t>
  </si>
  <si>
    <t>december</t>
  </si>
  <si>
    <t>januar</t>
  </si>
  <si>
    <t>februar</t>
  </si>
  <si>
    <t xml:space="preserve">marts </t>
  </si>
  <si>
    <t>april</t>
  </si>
  <si>
    <t>maj</t>
  </si>
  <si>
    <t>juni</t>
  </si>
  <si>
    <t>juli</t>
  </si>
  <si>
    <t>Gnms.</t>
  </si>
  <si>
    <t>BH-børn</t>
  </si>
  <si>
    <t>Deltid</t>
  </si>
  <si>
    <t>&lt; 3 år</t>
  </si>
  <si>
    <t>2013/2014</t>
  </si>
  <si>
    <t>Nye børn</t>
  </si>
  <si>
    <t>28 skolebørn</t>
  </si>
  <si>
    <t>2 udm/orlov</t>
  </si>
  <si>
    <t>1 barn 240611 til Oksbøl 1/6</t>
  </si>
  <si>
    <t>årgang 06/07</t>
  </si>
  <si>
    <t>(270610, 300510)</t>
  </si>
  <si>
    <t>1 barn 120711 til Oksbøl 1/7</t>
  </si>
  <si>
    <t>Oksbøl bhv</t>
  </si>
  <si>
    <t>18 skolebørn</t>
  </si>
  <si>
    <t>1 fra Skovmusen 240611</t>
  </si>
  <si>
    <t>heraf 1 deltids</t>
  </si>
  <si>
    <t>1 fra Skovmusen 120711</t>
  </si>
  <si>
    <t>1 udm 31/7</t>
  </si>
  <si>
    <t>SKOVMUSEN 25 0000 4</t>
  </si>
  <si>
    <t xml:space="preserve">Faktiske tal for 2012/2013 </t>
  </si>
  <si>
    <t>2012/2013</t>
  </si>
  <si>
    <t>OKSBØL BØRNEHAVE 2510001</t>
  </si>
  <si>
    <t>2 udm 15/9</t>
  </si>
  <si>
    <t>heraf 1 som egentlig var tiltænkt Oks bh</t>
  </si>
  <si>
    <t>1 nej tak</t>
  </si>
  <si>
    <t>87 garderober</t>
  </si>
  <si>
    <t>40 pladser i skovhytten (store børn)</t>
  </si>
  <si>
    <t>Til Oksbøl bhv</t>
  </si>
  <si>
    <t>heraf 1 9/9</t>
  </si>
  <si>
    <t>Maja udm 30/9</t>
  </si>
  <si>
    <t>081010=16/9</t>
  </si>
  <si>
    <t>260609= 9/9</t>
  </si>
  <si>
    <t>heraf 1 søsk</t>
  </si>
  <si>
    <t>heraf 2 søsk</t>
  </si>
  <si>
    <t>Billum</t>
  </si>
  <si>
    <t>6 skolebørn</t>
  </si>
  <si>
    <t xml:space="preserve">Faktiske tal 2013/2014 </t>
  </si>
  <si>
    <t>BILLUM BØRNEHAVE 210 00 11</t>
  </si>
  <si>
    <t>090710 på fuldtid 25/10</t>
  </si>
  <si>
    <t>Billum bhv</t>
  </si>
  <si>
    <t>Outrup</t>
  </si>
  <si>
    <t>15 skolebørn</t>
  </si>
  <si>
    <t>heraf 1 19/8</t>
  </si>
  <si>
    <t>deltid 240909 udm 15/10</t>
  </si>
  <si>
    <t>heraf 1 21/10</t>
  </si>
  <si>
    <t>heraf 1 16/11</t>
  </si>
  <si>
    <t>søsk</t>
  </si>
  <si>
    <t>Mælkevejen</t>
  </si>
  <si>
    <t>2014/2015</t>
  </si>
  <si>
    <t>21 skolebørn</t>
  </si>
  <si>
    <t>(010910 = 12/8)</t>
  </si>
  <si>
    <t>1 udm 31/3</t>
  </si>
  <si>
    <t>(1 søsk)</t>
  </si>
  <si>
    <t>Lundparken</t>
  </si>
  <si>
    <t>12 skolbørn</t>
  </si>
  <si>
    <t>2 udm 31/8</t>
  </si>
  <si>
    <t>heraf 1 deltid</t>
  </si>
  <si>
    <t>1 udm 8/9</t>
  </si>
  <si>
    <t>1 udm 31/10</t>
  </si>
  <si>
    <t>090710 dum 11/8</t>
  </si>
  <si>
    <t>heraf 010910 12/8=0,75</t>
  </si>
  <si>
    <t>120209 udm 15/8=0,5</t>
  </si>
  <si>
    <t>Prognose for 2013/2014 pr. 15.07.2013</t>
  </si>
  <si>
    <t>22 skolebørn</t>
  </si>
  <si>
    <t>16 skolebørn, heraf 1 deltids</t>
  </si>
  <si>
    <t>stn rettet 17/7-13</t>
  </si>
  <si>
    <t>Starup bhv</t>
  </si>
  <si>
    <t>4 udm. 31/7</t>
  </si>
  <si>
    <t>1 udm 31/8</t>
  </si>
  <si>
    <t>4 udm 30/9</t>
  </si>
  <si>
    <t>5 udm 30/11</t>
  </si>
  <si>
    <t>2 udm 31/12</t>
  </si>
  <si>
    <t>2 udm 31/1</t>
  </si>
  <si>
    <t>1 juni barn udm 31/7</t>
  </si>
  <si>
    <t>Årre bhv</t>
  </si>
  <si>
    <t>ønsker deltid 16/8</t>
  </si>
  <si>
    <t>18 skolebørn udm 31/7</t>
  </si>
  <si>
    <t>190509 udm 15/8</t>
  </si>
  <si>
    <t>Agerbæk</t>
  </si>
  <si>
    <t>Vuggestuebørn</t>
  </si>
  <si>
    <t>Max 12</t>
  </si>
  <si>
    <t>(291010 = 15/8)</t>
  </si>
  <si>
    <t>25 skolebørn</t>
  </si>
  <si>
    <t>Vuggestuen</t>
  </si>
  <si>
    <t>1 = 15/8</t>
  </si>
  <si>
    <t>1 udm 28/2</t>
  </si>
  <si>
    <t>2 udm 31/3</t>
  </si>
  <si>
    <t>1 udm 30/4</t>
  </si>
  <si>
    <t>3 udm 31/5</t>
  </si>
  <si>
    <t>Laust overflytning??</t>
  </si>
  <si>
    <t>7 skolebørn</t>
  </si>
  <si>
    <t>(151010, 301010)</t>
  </si>
  <si>
    <t>Ølgod</t>
  </si>
  <si>
    <t>vuggestuen</t>
  </si>
  <si>
    <t>Max 12 børn</t>
  </si>
  <si>
    <t>indr Casbian 300710</t>
  </si>
  <si>
    <t>51 børn årg 07/08</t>
  </si>
  <si>
    <t>heraf 1 deltid sfo 15/5</t>
  </si>
  <si>
    <t>(indregnet 2 oversiddere)</t>
  </si>
  <si>
    <t>2 udm 30/6</t>
  </si>
  <si>
    <t>Svalereden</t>
  </si>
  <si>
    <t>10 skolebørn</t>
  </si>
  <si>
    <t>040508 udm 19/9</t>
  </si>
  <si>
    <t>heras 1 12/8</t>
  </si>
  <si>
    <t>Garderobepladser 95</t>
  </si>
  <si>
    <t>Prognose 2014/2015 pr. 07.11.2013</t>
  </si>
  <si>
    <t>12 skolebørn</t>
  </si>
  <si>
    <t>29 skolebørn</t>
  </si>
  <si>
    <t>24 skolebørn</t>
  </si>
  <si>
    <t>heraf 2 deltid</t>
  </si>
  <si>
    <t>Faktiske tal 2013/2014 - hvis alle ikke søsk børn sendes til Lunde</t>
  </si>
  <si>
    <t>Faktiske tal 2013/2014 - hvis alle ikke søsk børn fra Outrup sendes til Lunde</t>
  </si>
  <si>
    <t>Børn fra Outrup</t>
  </si>
  <si>
    <t>MÆLKEVEJEN - NR.NEBEL</t>
  </si>
  <si>
    <t>LUNDPARKEN - LUNDE</t>
  </si>
  <si>
    <t>Børn til Lunde</t>
  </si>
  <si>
    <t>1 udm 30/11</t>
  </si>
  <si>
    <t>Aftalt på møde 08.11.2013</t>
  </si>
  <si>
    <t>at alle ikke søsk.børn fra 1/1 2014</t>
  </si>
  <si>
    <t>sendes til Lundparken/Mælkevejen</t>
  </si>
  <si>
    <t>(tilflytter)</t>
  </si>
  <si>
    <t>heraf 1 17/11 (Lilly Marie)</t>
  </si>
  <si>
    <t>(2 vuggest.)</t>
  </si>
  <si>
    <t>(1 vugges.)</t>
  </si>
  <si>
    <t>Fra skovmusen</t>
  </si>
  <si>
    <t>(Romeo)</t>
  </si>
  <si>
    <t>(startet 15/1)</t>
  </si>
  <si>
    <t>Prognose 2014/2015 pr. 05.12.2013</t>
  </si>
  <si>
    <t>1 udm 15/12</t>
  </si>
  <si>
    <t>Nej tak - valgt Billum</t>
  </si>
  <si>
    <t>Lundparken vælger overflytning til Outrup 1/8</t>
  </si>
  <si>
    <t>Prognose 2014/2015 pr. 05.12.2013 - med børn fra Outrup for at hive gennemsnit op på 35</t>
  </si>
  <si>
    <t>Thea 170109 fuldtid 9/12</t>
  </si>
  <si>
    <t>Faktiske tal for 2012/2013 - med overflytning til Oksbøl bhv fra maj 2014</t>
  </si>
  <si>
    <t>Med overflytning til Lundparken pr. 05.12.2013</t>
  </si>
  <si>
    <t>110609 udm 19/1</t>
  </si>
  <si>
    <t>Thea 170109 fuld tid 9/12</t>
  </si>
  <si>
    <t>NEJ tak- valgt Billum</t>
  </si>
  <si>
    <t>2 overflyttere fra Lundparken</t>
  </si>
  <si>
    <t>Forudsætter at de 2 "Outrup"-børn der er tilbudt</t>
  </si>
  <si>
    <t>Til Lunde</t>
  </si>
  <si>
    <t xml:space="preserve"> Fra Outrup</t>
  </si>
  <si>
    <t>start 15/1</t>
  </si>
  <si>
    <t>flygtninge start 16/1</t>
  </si>
  <si>
    <t>Hvis de 3 Skovmusen børn ikke overflyttes ender den på 46,73</t>
  </si>
  <si>
    <t>Hvis flygtningebarnet ikke starter i Oksbøl bhv + 4 fra skovmusen = 46,94</t>
  </si>
  <si>
    <t>Prognose for 2014/2015 pr. 15.1 2014</t>
  </si>
  <si>
    <t>17 skolebørn</t>
  </si>
  <si>
    <t>Prognosen for 2014/2015 pr. 15.01.2014</t>
  </si>
  <si>
    <t>13 skolebørn</t>
  </si>
  <si>
    <t>1 udm 11/8</t>
  </si>
  <si>
    <t>1 udm 13/10</t>
  </si>
  <si>
    <t>Horne</t>
  </si>
  <si>
    <t>6 udm 30/11</t>
  </si>
  <si>
    <t>1 junibarn udm 31/7</t>
  </si>
  <si>
    <t>2 udm 31/7</t>
  </si>
  <si>
    <t>1 udm 30/9</t>
  </si>
  <si>
    <t>1 udm 31/1</t>
  </si>
  <si>
    <t>4 udm 28/2</t>
  </si>
  <si>
    <t>Hvis flygn.barnet starter + 4 overflyttere fra Oksbøl=  47,48 + 1 overfl 46,98</t>
  </si>
  <si>
    <t>73,15/74</t>
  </si>
  <si>
    <t>43,7/44</t>
  </si>
  <si>
    <t>1 udm 15/8</t>
  </si>
  <si>
    <t>(opstart 16/8)</t>
  </si>
  <si>
    <t xml:space="preserve">3 udm 31/1 </t>
  </si>
  <si>
    <t>20 skolebørn</t>
  </si>
  <si>
    <t>(1 opstart 16/3)</t>
  </si>
  <si>
    <t>26 skolebørn</t>
  </si>
  <si>
    <t>(heraf 1 deltid)</t>
  </si>
  <si>
    <t>291010=15/8</t>
  </si>
  <si>
    <t>4 børn 1/8 og 3 15/8</t>
  </si>
  <si>
    <t>230910=1/8</t>
  </si>
  <si>
    <t>211110=1/8</t>
  </si>
  <si>
    <t>041010=1/9</t>
  </si>
  <si>
    <t>børnehaven</t>
  </si>
  <si>
    <t>Børnehaven</t>
  </si>
  <si>
    <t>1=16/6</t>
  </si>
  <si>
    <t>2 (1=15/8)</t>
  </si>
  <si>
    <t>1 udm 30/6</t>
  </si>
  <si>
    <t>(heraf 1 16/12)</t>
  </si>
  <si>
    <t>30 skolebørn</t>
  </si>
  <si>
    <t>Prognose 2014/2015 pr. 15.01.14</t>
  </si>
  <si>
    <t xml:space="preserve">På udvalgsmøde januar 2014 er det </t>
  </si>
  <si>
    <t xml:space="preserve">besluttet at Lundparken ikke skal </t>
  </si>
  <si>
    <t>fyldes op til 35.</t>
  </si>
  <si>
    <t>(heraf 1 20/1)</t>
  </si>
  <si>
    <t>Prognose 2014/2015 pr. 15.01.2014</t>
  </si>
  <si>
    <t>(silas 221108 venter)</t>
  </si>
  <si>
    <t>(heraf 2 16/8)</t>
  </si>
  <si>
    <t>(opstart 20/9 ))</t>
  </si>
  <si>
    <t>(opstart 26/9 + 15/10)</t>
  </si>
  <si>
    <t>1 udm 17/11</t>
  </si>
  <si>
    <t>1 udm 15/12 + 31/12</t>
  </si>
  <si>
    <t>54 skolebørn, heraf 2 deltids ud 15/5</t>
  </si>
  <si>
    <t>54 skolebørn ud 15/5</t>
  </si>
  <si>
    <t>030111 udm 9/1</t>
  </si>
  <si>
    <t>heraf 16/1</t>
  </si>
  <si>
    <t>(startet 9/1)</t>
  </si>
  <si>
    <t>2 udm 15/2</t>
  </si>
  <si>
    <t>Ventelistebørnene til Skovmusen og Oksbøl bhv. : Pladsanvisningen har i flere tilfælde sat prioritet på efter adresse og efter hvor søskende har været</t>
  </si>
  <si>
    <t>indmeldt. Jeg kan derfor ikke være 100% sikker på at det er hvad forældrene i sidste ende ønsker og vælger. I prognosen har jeg indregnet at</t>
  </si>
  <si>
    <t>3 af de 22 børn ikke indmeldes i oksbøl børnehave (sept. November, januar -tilfældigt udvalgt). Det giver et gennemsnit på 40,58 som I første gang</t>
  </si>
  <si>
    <t>vil være det prognosetal der fremgår af opgørelsen. På møde med Anette Brodde 6/1 2014 blev dette anbefalet. 16/1 2014/dvho</t>
  </si>
  <si>
    <t>1 ny</t>
  </si>
  <si>
    <t>3 nye</t>
  </si>
  <si>
    <t>1 udm. 28/2</t>
  </si>
  <si>
    <t>2 udm 30/11</t>
  </si>
  <si>
    <t>1 udm 1/2</t>
  </si>
  <si>
    <t>1 udm 1/5</t>
  </si>
  <si>
    <t>1 udm 1/4</t>
  </si>
  <si>
    <t>1 udm 1/6</t>
  </si>
  <si>
    <t>3 udm 30/6</t>
  </si>
  <si>
    <t>Børnehave før tid 2013</t>
  </si>
  <si>
    <t xml:space="preserve">april </t>
  </si>
  <si>
    <t xml:space="preserve">maj </t>
  </si>
  <si>
    <t>aug</t>
  </si>
  <si>
    <t>november</t>
  </si>
  <si>
    <t>040210=23/1</t>
  </si>
  <si>
    <t>250310=23/1</t>
  </si>
  <si>
    <t>100210=17/1</t>
  </si>
  <si>
    <t>030410=1/2</t>
  </si>
  <si>
    <t>080310=1/2</t>
  </si>
  <si>
    <t>140410=1/3</t>
  </si>
  <si>
    <t>130410=1/3</t>
  </si>
  <si>
    <t>160610=1/4</t>
  </si>
  <si>
    <t>100510=1/4</t>
  </si>
  <si>
    <t>110510=1/4</t>
  </si>
  <si>
    <t>090710=1/5</t>
  </si>
  <si>
    <t>270610=1/5</t>
  </si>
  <si>
    <t>180710=13/5</t>
  </si>
  <si>
    <t>070610=16/5</t>
  </si>
  <si>
    <t>080610=16/5</t>
  </si>
  <si>
    <t>030710=27/5</t>
  </si>
  <si>
    <t>060810=1/6</t>
  </si>
  <si>
    <t>140710=4/6</t>
  </si>
  <si>
    <t>100810=1/7</t>
  </si>
  <si>
    <t>010910=12/8</t>
  </si>
  <si>
    <t>151010=1/9</t>
  </si>
  <si>
    <t>301010=1/9</t>
  </si>
  <si>
    <t>021010=26/9</t>
  </si>
  <si>
    <t>211110=15/10</t>
  </si>
  <si>
    <t>Tilbagemelding til Dagplejen 24/1 2014</t>
  </si>
  <si>
    <t>Nicklas 221208 venter med skolestart</t>
  </si>
  <si>
    <t xml:space="preserve"> fuld tid 24/2</t>
  </si>
  <si>
    <t>161110 + 010609</t>
  </si>
  <si>
    <t>Prognose for 2015/2016 pr. 1.4 2014</t>
  </si>
  <si>
    <t>Prognose for 2014/2015 pr. 1.4.2014</t>
  </si>
  <si>
    <t>1 udm. 31/3</t>
  </si>
  <si>
    <t>3 udm 31/12</t>
  </si>
  <si>
    <t>Prognose for 2016/2017 pr. 1.4 2014</t>
  </si>
  <si>
    <t>2 udm 30/9</t>
  </si>
  <si>
    <t>2 udm 31/10</t>
  </si>
  <si>
    <t>1 udm 31/5</t>
  </si>
  <si>
    <t>Ej født børn endnu til børnehavestart april 2016</t>
  </si>
  <si>
    <t>heraf 2 16/11</t>
  </si>
  <si>
    <t>heraf 1 16/1</t>
  </si>
  <si>
    <t>heraf 1 16/2</t>
  </si>
  <si>
    <t>2 udm 28/2</t>
  </si>
  <si>
    <t>heraf 2 16/3</t>
  </si>
  <si>
    <t>heraf 1 16/5</t>
  </si>
  <si>
    <t>2 udm. 28/2</t>
  </si>
  <si>
    <t xml:space="preserve">1 barn allerede på venteliste </t>
  </si>
  <si>
    <t>Tror på at der nok skal komme en mere</t>
  </si>
  <si>
    <t>1 udm 31/5(deltid)</t>
  </si>
  <si>
    <t>På deltid</t>
  </si>
  <si>
    <t>Prognose for 2014/2015 pr. 1/4 2014</t>
  </si>
  <si>
    <t>Prognose for 2015/2016 pr. 1/4 2014</t>
  </si>
  <si>
    <t>Prognose for 2016/2017 pr. 1/4 2014</t>
  </si>
  <si>
    <t>16 skolebørn</t>
  </si>
  <si>
    <t>(årg 2010)</t>
  </si>
  <si>
    <t>(årg 2009)</t>
  </si>
  <si>
    <t>heraf en deltid</t>
  </si>
  <si>
    <t>Børnene ikke født endnu</t>
  </si>
  <si>
    <t>1 udm 15/3</t>
  </si>
  <si>
    <t>Prognose 2014/2015 pr. 15.05.14</t>
  </si>
  <si>
    <t>Prognose for 2014/2015 pr. 15.5.2014</t>
  </si>
  <si>
    <t>2 udm 31/5</t>
  </si>
  <si>
    <t>11 skolebørn</t>
  </si>
  <si>
    <t>Prognose for 2014/2015 pr. 15.5 2014</t>
  </si>
  <si>
    <t>heraf 1 start 26/3</t>
  </si>
  <si>
    <t>2 udm 21/4</t>
  </si>
  <si>
    <t>Prognose 2014/2015 pr. 15.05.2014</t>
  </si>
  <si>
    <t>heraf 1 16/6</t>
  </si>
  <si>
    <t>heraf 1 10/3</t>
  </si>
  <si>
    <t>1 udm 14/5</t>
  </si>
  <si>
    <t>heraf 1 16/12</t>
  </si>
  <si>
    <t>heraf 1 22/4</t>
  </si>
  <si>
    <t>2 udm 30/4</t>
  </si>
  <si>
    <t>19 skolebørn</t>
  </si>
  <si>
    <t>Prognosen for 2014/2015 pr. 15.05.2014</t>
  </si>
  <si>
    <t>heraf 1 17/3 (100511)</t>
  </si>
  <si>
    <t xml:space="preserve">28 skolebørn </t>
  </si>
  <si>
    <t>300410=fuldtid 1/5</t>
  </si>
  <si>
    <t>5 udm 15/5 til Ølgod sfo</t>
  </si>
  <si>
    <t>opstart 22/4</t>
  </si>
  <si>
    <t>1 udm 15/6</t>
  </si>
  <si>
    <t>heraf 1 13/5</t>
  </si>
  <si>
    <t>1 udm 15/4</t>
  </si>
  <si>
    <t xml:space="preserve">heraf 2 15/2 </t>
  </si>
  <si>
    <t>begge= deltid</t>
  </si>
  <si>
    <t>1 udm 15/5</t>
  </si>
  <si>
    <t>heraf 2 19/5</t>
  </si>
  <si>
    <t>heraf 1 21/7</t>
  </si>
  <si>
    <t>60 skolebørn ud 15/5</t>
  </si>
  <si>
    <t>2 udm 15/5</t>
  </si>
  <si>
    <t>34 skolebørn</t>
  </si>
  <si>
    <t>vil være det prognosetal der fremgår af opgørelsen. På møde med Anette Brodde 6/1 2014 blev dette anbefalet. 15/5-2014/dvho</t>
  </si>
  <si>
    <t>6 af de 24 børn ikke indmeldes i oksbøl børnehave (1. sept, 3 okt. 1. November, 1. februar -tilfældigt udvalgt). Det giver et gennemsnit på 41,08 som I første gang</t>
  </si>
  <si>
    <t>heraf 23/6</t>
  </si>
  <si>
    <t>1 (16/5)</t>
  </si>
  <si>
    <t>2 udm 1/2</t>
  </si>
  <si>
    <t>Prognose for 2014/2015 pr. 15.7 2014</t>
  </si>
  <si>
    <t>2 oversiddere (meddelt 19/5)</t>
  </si>
  <si>
    <t>Prognose for 2015/2016 pr. 26.5.2014</t>
  </si>
  <si>
    <t>Prognose for 2016/2017 pr. 26.5.2014</t>
  </si>
  <si>
    <t>Prognose for 2014/2015 pr. 26.5.2014</t>
  </si>
  <si>
    <t>13 skolebørn årg 2009</t>
  </si>
  <si>
    <t>11 skolebørn årg 2010</t>
  </si>
  <si>
    <t>Børnene ej født endnu</t>
  </si>
  <si>
    <t>PROGNOSE FOR BILLUM</t>
  </si>
  <si>
    <t>PROGNOSE FOR OKSBØL</t>
  </si>
  <si>
    <t>2015/2016</t>
  </si>
  <si>
    <t>2016/2017</t>
  </si>
  <si>
    <t>OKSBØL</t>
  </si>
  <si>
    <t>(incl tvill)</t>
  </si>
  <si>
    <t>37 skolebørn årgang 2009</t>
  </si>
  <si>
    <t>39 skolebørn årgang 2010</t>
  </si>
  <si>
    <t>18 skolebørn årg 2009</t>
  </si>
  <si>
    <t>16 skolebørn årg 2010</t>
  </si>
  <si>
    <t>Børnenes prioritering af børnehaveønske er gjort ud fra adresse eller hvor søskende går/tidl. Har gået.</t>
  </si>
  <si>
    <t xml:space="preserve">1 ny/tilflytter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</si>
</sst>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  <font>
      <sz val="6"/>
      <color theme="1"/>
      <name val="Calibri"/>
      <family val="2"/>
      <scheme val="minor"/>
    </font>
    <font>
      <sz val="6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5" fillId="0" borderId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0">
    <xf numFmtId="0" fontId="0" fillId="0" borderId="0" xfId="0"/>
    <xf numFmtId="0" fontId="1" fillId="2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0" fillId="0" borderId="1" xfId="0" applyNumberFormat="1" applyFill="1" applyBorder="1" applyAlignment="1">
      <alignment horizontal="center"/>
    </xf>
    <xf numFmtId="9" fontId="0" fillId="0" borderId="0" xfId="0" applyNumberFormat="1" applyFill="1"/>
    <xf numFmtId="0" fontId="4" fillId="0" borderId="2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0" fillId="2" borderId="0" xfId="0" applyFill="1"/>
    <xf numFmtId="0" fontId="2" fillId="0" borderId="0" xfId="0" applyFont="1"/>
    <xf numFmtId="0" fontId="1" fillId="0" borderId="0" xfId="1" applyFont="1"/>
    <xf numFmtId="0" fontId="2" fillId="0" borderId="0" xfId="1"/>
    <xf numFmtId="0" fontId="1" fillId="3" borderId="0" xfId="1" applyFont="1" applyFill="1"/>
    <xf numFmtId="0" fontId="2" fillId="3" borderId="0" xfId="1" applyFill="1"/>
    <xf numFmtId="0" fontId="2" fillId="0" borderId="0" xfId="1" applyFill="1"/>
    <xf numFmtId="0" fontId="0" fillId="4" borderId="0" xfId="0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2" fillId="4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1" fillId="0" borderId="0" xfId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1" applyFont="1" applyFill="1" applyBorder="1"/>
    <xf numFmtId="0" fontId="8" fillId="0" borderId="0" xfId="0" applyFont="1"/>
    <xf numFmtId="1" fontId="9" fillId="0" borderId="0" xfId="1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10" fillId="0" borderId="0" xfId="1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14" fillId="0" borderId="0" xfId="0" applyFont="1"/>
    <xf numFmtId="1" fontId="1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1" fillId="5" borderId="0" xfId="0" applyNumberFormat="1" applyFont="1" applyFill="1" applyBorder="1" applyAlignment="1">
      <alignment horizontal="center"/>
    </xf>
    <xf numFmtId="0" fontId="15" fillId="0" borderId="0" xfId="2"/>
    <xf numFmtId="0" fontId="15" fillId="0" borderId="0" xfId="2" applyFill="1"/>
    <xf numFmtId="9" fontId="15" fillId="0" borderId="0" xfId="2" applyNumberFormat="1" applyFill="1"/>
    <xf numFmtId="0" fontId="5" fillId="0" borderId="0" xfId="2" applyFont="1" applyFill="1" applyBorder="1" applyAlignment="1">
      <alignment horizontal="center"/>
    </xf>
    <xf numFmtId="0" fontId="1" fillId="0" borderId="1" xfId="2" applyFont="1" applyFill="1" applyBorder="1"/>
    <xf numFmtId="0" fontId="15" fillId="0" borderId="1" xfId="2" applyFill="1" applyBorder="1" applyAlignment="1">
      <alignment horizontal="center"/>
    </xf>
    <xf numFmtId="0" fontId="15" fillId="0" borderId="1" xfId="2" applyFill="1" applyBorder="1"/>
    <xf numFmtId="2" fontId="3" fillId="0" borderId="1" xfId="2" applyNumberFormat="1" applyFont="1" applyFill="1" applyBorder="1" applyAlignment="1">
      <alignment horizontal="right"/>
    </xf>
    <xf numFmtId="0" fontId="2" fillId="0" borderId="1" xfId="2" applyFont="1" applyFill="1" applyBorder="1"/>
    <xf numFmtId="2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/>
    <xf numFmtId="2" fontId="15" fillId="0" borderId="1" xfId="2" applyNumberFormat="1" applyFill="1" applyBorder="1" applyAlignment="1">
      <alignment horizontal="center"/>
    </xf>
    <xf numFmtId="0" fontId="5" fillId="0" borderId="0" xfId="2" applyFont="1" applyFill="1"/>
    <xf numFmtId="0" fontId="2" fillId="0" borderId="1" xfId="2" applyFont="1" applyFill="1" applyBorder="1" applyAlignment="1">
      <alignment horizontal="center"/>
    </xf>
    <xf numFmtId="0" fontId="15" fillId="0" borderId="0" xfId="2" applyFill="1" applyAlignment="1">
      <alignment horizontal="center"/>
    </xf>
    <xf numFmtId="0" fontId="6" fillId="0" borderId="0" xfId="2" applyFont="1"/>
    <xf numFmtId="0" fontId="4" fillId="0" borderId="2" xfId="2" applyFont="1" applyFill="1" applyBorder="1"/>
    <xf numFmtId="2" fontId="5" fillId="0" borderId="1" xfId="2" applyNumberFormat="1" applyFont="1" applyFill="1" applyBorder="1" applyAlignment="1">
      <alignment horizontal="center"/>
    </xf>
    <xf numFmtId="0" fontId="15" fillId="2" borderId="0" xfId="2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15" fillId="3" borderId="0" xfId="2" applyFill="1"/>
    <xf numFmtId="0" fontId="2" fillId="0" borderId="0" xfId="2" applyFont="1" applyFill="1" applyBorder="1"/>
    <xf numFmtId="0" fontId="1" fillId="2" borderId="0" xfId="2" applyFont="1" applyFill="1"/>
    <xf numFmtId="2" fontId="5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15" fillId="0" borderId="0" xfId="2"/>
    <xf numFmtId="0" fontId="15" fillId="0" borderId="0" xfId="2" applyFill="1"/>
    <xf numFmtId="9" fontId="15" fillId="0" borderId="0" xfId="2" applyNumberFormat="1" applyFill="1"/>
    <xf numFmtId="0" fontId="5" fillId="0" borderId="0" xfId="2" applyFont="1" applyFill="1" applyBorder="1" applyAlignment="1">
      <alignment horizontal="center"/>
    </xf>
    <xf numFmtId="0" fontId="1" fillId="0" borderId="1" xfId="2" applyFont="1" applyFill="1" applyBorder="1"/>
    <xf numFmtId="0" fontId="15" fillId="0" borderId="1" xfId="2" applyFill="1" applyBorder="1" applyAlignment="1">
      <alignment horizontal="center"/>
    </xf>
    <xf numFmtId="0" fontId="15" fillId="0" borderId="1" xfId="2" applyFill="1" applyBorder="1"/>
    <xf numFmtId="2" fontId="3" fillId="0" borderId="1" xfId="2" applyNumberFormat="1" applyFont="1" applyFill="1" applyBorder="1" applyAlignment="1">
      <alignment horizontal="right"/>
    </xf>
    <xf numFmtId="0" fontId="2" fillId="0" borderId="1" xfId="2" applyFont="1" applyFill="1" applyBorder="1"/>
    <xf numFmtId="2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/>
    <xf numFmtId="2" fontId="15" fillId="0" borderId="1" xfId="2" applyNumberFormat="1" applyFill="1" applyBorder="1" applyAlignment="1">
      <alignment horizontal="center"/>
    </xf>
    <xf numFmtId="0" fontId="5" fillId="0" borderId="0" xfId="2" applyFont="1" applyFill="1"/>
    <xf numFmtId="0" fontId="2" fillId="0" borderId="1" xfId="2" applyFont="1" applyFill="1" applyBorder="1" applyAlignment="1">
      <alignment horizontal="center"/>
    </xf>
    <xf numFmtId="0" fontId="15" fillId="0" borderId="0" xfId="2" applyFill="1" applyAlignment="1">
      <alignment horizontal="center"/>
    </xf>
    <xf numFmtId="0" fontId="4" fillId="0" borderId="2" xfId="2" applyFont="1" applyFill="1" applyBorder="1"/>
    <xf numFmtId="0" fontId="15" fillId="0" borderId="2" xfId="2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/>
    </xf>
    <xf numFmtId="0" fontId="15" fillId="2" borderId="0" xfId="2" applyFill="1"/>
    <xf numFmtId="0" fontId="1" fillId="2" borderId="0" xfId="2" applyFont="1" applyFill="1"/>
    <xf numFmtId="0" fontId="16" fillId="0" borderId="0" xfId="0" applyFont="1"/>
    <xf numFmtId="0" fontId="0" fillId="5" borderId="0" xfId="0" applyFill="1"/>
    <xf numFmtId="0" fontId="2" fillId="0" borderId="0" xfId="1"/>
    <xf numFmtId="9" fontId="2" fillId="0" borderId="0" xfId="1" applyNumberForma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5" fillId="0" borderId="2" xfId="1" applyFont="1" applyFill="1" applyBorder="1"/>
    <xf numFmtId="2" fontId="5" fillId="0" borderId="1" xfId="1" applyNumberFormat="1" applyFont="1" applyFill="1" applyBorder="1" applyAlignment="1">
      <alignment horizontal="center"/>
    </xf>
    <xf numFmtId="0" fontId="2" fillId="2" borderId="0" xfId="1" applyFill="1"/>
    <xf numFmtId="0" fontId="1" fillId="2" borderId="0" xfId="1" applyFont="1" applyFill="1"/>
    <xf numFmtId="0" fontId="2" fillId="0" borderId="0" xfId="1" applyFill="1"/>
    <xf numFmtId="9" fontId="2" fillId="0" borderId="0" xfId="1" applyNumberForma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2" fillId="2" borderId="0" xfId="1" applyFill="1"/>
    <xf numFmtId="0" fontId="1" fillId="2" borderId="0" xfId="1" applyFont="1" applyFill="1"/>
    <xf numFmtId="0" fontId="2" fillId="0" borderId="0" xfId="1"/>
    <xf numFmtId="0" fontId="2" fillId="0" borderId="0" xfId="1" applyFill="1"/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4" borderId="1" xfId="1" applyFont="1" applyFill="1" applyBorder="1"/>
    <xf numFmtId="0" fontId="3" fillId="4" borderId="0" xfId="1" applyFont="1" applyFill="1" applyAlignment="1">
      <alignment horizontal="right"/>
    </xf>
    <xf numFmtId="0" fontId="2" fillId="0" borderId="0" xfId="1" applyFont="1"/>
    <xf numFmtId="0" fontId="2" fillId="4" borderId="0" xfId="1" applyFill="1" applyBorder="1"/>
    <xf numFmtId="0" fontId="2" fillId="4" borderId="0" xfId="1" applyFont="1" applyFill="1" applyBorder="1" applyAlignment="1">
      <alignment horizontal="left"/>
    </xf>
    <xf numFmtId="0" fontId="1" fillId="2" borderId="0" xfId="1" applyFont="1" applyFill="1"/>
    <xf numFmtId="0" fontId="2" fillId="2" borderId="0" xfId="1" applyFill="1"/>
    <xf numFmtId="0" fontId="2" fillId="0" borderId="0" xfId="1"/>
    <xf numFmtId="0" fontId="2" fillId="0" borderId="0" xfId="1" applyFill="1"/>
    <xf numFmtId="0" fontId="5" fillId="0" borderId="0" xfId="1" applyFont="1"/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4" borderId="1" xfId="1" applyFont="1" applyFill="1" applyBorder="1"/>
    <xf numFmtId="0" fontId="3" fillId="4" borderId="0" xfId="1" applyFont="1" applyFill="1" applyAlignment="1">
      <alignment horizontal="right"/>
    </xf>
    <xf numFmtId="0" fontId="1" fillId="2" borderId="0" xfId="1" applyFont="1" applyFill="1"/>
    <xf numFmtId="0" fontId="2" fillId="2" borderId="0" xfId="1" applyFill="1"/>
    <xf numFmtId="0" fontId="17" fillId="0" borderId="0" xfId="1" applyFont="1" applyFill="1"/>
    <xf numFmtId="0" fontId="2" fillId="0" borderId="0" xfId="1"/>
    <xf numFmtId="0" fontId="2" fillId="0" borderId="0" xfId="1" applyFill="1"/>
    <xf numFmtId="0" fontId="5" fillId="0" borderId="0" xfId="1" applyFont="1"/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4" borderId="1" xfId="1" applyFont="1" applyFill="1" applyBorder="1"/>
    <xf numFmtId="0" fontId="2" fillId="4" borderId="1" xfId="1" applyFont="1" applyFill="1" applyBorder="1"/>
    <xf numFmtId="0" fontId="3" fillId="4" borderId="0" xfId="1" applyFont="1" applyFill="1" applyAlignment="1">
      <alignment horizontal="right"/>
    </xf>
    <xf numFmtId="0" fontId="1" fillId="2" borderId="0" xfId="1" applyFont="1" applyFill="1"/>
    <xf numFmtId="0" fontId="2" fillId="2" borderId="0" xfId="1" applyFill="1"/>
    <xf numFmtId="0" fontId="2" fillId="0" borderId="0" xfId="1"/>
    <xf numFmtId="0" fontId="2" fillId="0" borderId="0" xfId="1" applyFill="1"/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4" borderId="1" xfId="1" applyFont="1" applyFill="1" applyBorder="1"/>
    <xf numFmtId="0" fontId="3" fillId="4" borderId="0" xfId="1" applyFont="1" applyFill="1" applyAlignment="1">
      <alignment horizontal="right"/>
    </xf>
    <xf numFmtId="0" fontId="2" fillId="0" borderId="0" xfId="1" applyFont="1"/>
    <xf numFmtId="0" fontId="1" fillId="2" borderId="0" xfId="1" applyFont="1" applyFill="1"/>
    <xf numFmtId="0" fontId="2" fillId="2" borderId="0" xfId="1" applyFill="1"/>
    <xf numFmtId="0" fontId="2" fillId="0" borderId="0" xfId="1"/>
    <xf numFmtId="0" fontId="2" fillId="0" borderId="0" xfId="1" applyFill="1"/>
    <xf numFmtId="0" fontId="5" fillId="0" borderId="0" xfId="1" applyFont="1"/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6" fillId="0" borderId="0" xfId="1" applyFont="1"/>
    <xf numFmtId="0" fontId="3" fillId="4" borderId="1" xfId="1" applyFont="1" applyFill="1" applyBorder="1"/>
    <xf numFmtId="0" fontId="2" fillId="4" borderId="1" xfId="1" applyFont="1" applyFill="1" applyBorder="1"/>
    <xf numFmtId="0" fontId="3" fillId="4" borderId="0" xfId="1" applyFont="1" applyFill="1" applyAlignment="1">
      <alignment horizontal="right"/>
    </xf>
    <xf numFmtId="0" fontId="2" fillId="0" borderId="0" xfId="1" applyFont="1"/>
    <xf numFmtId="0" fontId="6" fillId="6" borderId="1" xfId="1" applyFont="1" applyFill="1" applyBorder="1"/>
    <xf numFmtId="2" fontId="3" fillId="6" borderId="1" xfId="1" applyNumberFormat="1" applyFont="1" applyFill="1" applyBorder="1" applyAlignment="1">
      <alignment horizontal="center"/>
    </xf>
    <xf numFmtId="0" fontId="2" fillId="6" borderId="1" xfId="1" applyFill="1" applyBorder="1"/>
    <xf numFmtId="0" fontId="2" fillId="6" borderId="1" xfId="1" applyFont="1" applyFill="1" applyBorder="1"/>
    <xf numFmtId="0" fontId="3" fillId="6" borderId="1" xfId="1" applyFont="1" applyFill="1" applyBorder="1"/>
    <xf numFmtId="2" fontId="2" fillId="6" borderId="1" xfId="1" applyNumberFormat="1" applyFill="1" applyBorder="1" applyAlignment="1">
      <alignment horizontal="center"/>
    </xf>
    <xf numFmtId="0" fontId="1" fillId="2" borderId="0" xfId="1" applyFont="1" applyFill="1"/>
    <xf numFmtId="0" fontId="2" fillId="2" borderId="0" xfId="1" applyFill="1"/>
    <xf numFmtId="0" fontId="2" fillId="0" borderId="0" xfId="1"/>
    <xf numFmtId="0" fontId="5" fillId="0" borderId="0" xfId="1" applyFont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6" fillId="0" borderId="0" xfId="1" applyFont="1"/>
    <xf numFmtId="0" fontId="3" fillId="4" borderId="1" xfId="1" applyFont="1" applyFill="1" applyBorder="1"/>
    <xf numFmtId="0" fontId="2" fillId="4" borderId="1" xfId="1" applyFont="1" applyFill="1" applyBorder="1"/>
    <xf numFmtId="0" fontId="3" fillId="4" borderId="0" xfId="1" applyFont="1" applyFill="1" applyAlignment="1">
      <alignment horizontal="right"/>
    </xf>
    <xf numFmtId="0" fontId="6" fillId="0" borderId="0" xfId="1" applyFont="1" applyFill="1"/>
    <xf numFmtId="2" fontId="9" fillId="0" borderId="1" xfId="1" applyNumberFormat="1" applyFont="1" applyFill="1" applyBorder="1" applyAlignment="1">
      <alignment horizontal="center"/>
    </xf>
    <xf numFmtId="0" fontId="2" fillId="4" borderId="0" xfId="1" applyFill="1" applyBorder="1"/>
    <xf numFmtId="0" fontId="2" fillId="4" borderId="0" xfId="1" applyFont="1" applyFill="1" applyBorder="1" applyAlignment="1">
      <alignment horizontal="left"/>
    </xf>
    <xf numFmtId="0" fontId="2" fillId="4" borderId="0" xfId="1" applyFont="1" applyFill="1" applyBorder="1"/>
    <xf numFmtId="0" fontId="1" fillId="2" borderId="0" xfId="1" applyFont="1" applyFill="1"/>
    <xf numFmtId="0" fontId="2" fillId="2" borderId="0" xfId="1" applyFill="1"/>
    <xf numFmtId="0" fontId="2" fillId="0" borderId="0" xfId="1"/>
    <xf numFmtId="0" fontId="2" fillId="0" borderId="0" xfId="1" applyFill="1"/>
    <xf numFmtId="9" fontId="2" fillId="0" borderId="0" xfId="1" applyNumberFormat="1" applyFill="1"/>
    <xf numFmtId="0" fontId="5" fillId="0" borderId="0" xfId="1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5" fillId="0" borderId="2" xfId="1" applyFont="1" applyFill="1" applyBorder="1"/>
    <xf numFmtId="2" fontId="5" fillId="0" borderId="1" xfId="1" applyNumberFormat="1" applyFont="1" applyFill="1" applyBorder="1" applyAlignment="1">
      <alignment horizontal="center"/>
    </xf>
    <xf numFmtId="0" fontId="2" fillId="2" borderId="0" xfId="1" applyFill="1"/>
    <xf numFmtId="0" fontId="2" fillId="6" borderId="1" xfId="1" applyFill="1" applyBorder="1"/>
    <xf numFmtId="0" fontId="3" fillId="6" borderId="1" xfId="1" applyFont="1" applyFill="1" applyBorder="1"/>
    <xf numFmtId="2" fontId="3" fillId="6" borderId="1" xfId="1" applyNumberFormat="1" applyFont="1" applyFill="1" applyBorder="1" applyAlignment="1">
      <alignment horizontal="center"/>
    </xf>
    <xf numFmtId="0" fontId="6" fillId="6" borderId="1" xfId="1" applyFont="1" applyFill="1" applyBorder="1"/>
    <xf numFmtId="0" fontId="11" fillId="0" borderId="0" xfId="1" applyFont="1"/>
    <xf numFmtId="0" fontId="1" fillId="2" borderId="0" xfId="1" applyFont="1" applyFill="1"/>
    <xf numFmtId="0" fontId="2" fillId="0" borderId="0" xfId="1"/>
    <xf numFmtId="0" fontId="2" fillId="0" borderId="0" xfId="1" applyFill="1"/>
    <xf numFmtId="9" fontId="2" fillId="0" borderId="0" xfId="1" applyNumberForma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5" fillId="0" borderId="2" xfId="1" applyFont="1" applyFill="1" applyBorder="1"/>
    <xf numFmtId="2" fontId="5" fillId="0" borderId="1" xfId="1" applyNumberFormat="1" applyFont="1" applyFill="1" applyBorder="1" applyAlignment="1">
      <alignment horizontal="center"/>
    </xf>
    <xf numFmtId="0" fontId="2" fillId="2" borderId="0" xfId="1" applyFill="1"/>
    <xf numFmtId="0" fontId="1" fillId="2" borderId="0" xfId="1" applyFont="1" applyFill="1"/>
    <xf numFmtId="0" fontId="18" fillId="5" borderId="0" xfId="0" applyFont="1" applyFill="1"/>
    <xf numFmtId="0" fontId="21" fillId="4" borderId="1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0" fillId="0" borderId="0" xfId="0" applyFont="1"/>
    <xf numFmtId="0" fontId="18" fillId="4" borderId="0" xfId="0" applyFont="1" applyFill="1"/>
    <xf numFmtId="0" fontId="1" fillId="4" borderId="1" xfId="1" applyFont="1" applyFill="1" applyBorder="1"/>
    <xf numFmtId="0" fontId="2" fillId="4" borderId="1" xfId="1" applyFill="1" applyBorder="1" applyAlignment="1">
      <alignment horizontal="center"/>
    </xf>
    <xf numFmtId="0" fontId="2" fillId="4" borderId="1" xfId="1" applyFill="1" applyBorder="1"/>
    <xf numFmtId="0" fontId="1" fillId="5" borderId="0" xfId="0" applyFont="1" applyFill="1"/>
    <xf numFmtId="0" fontId="15" fillId="5" borderId="0" xfId="2" applyFill="1"/>
    <xf numFmtId="0" fontId="2" fillId="3" borderId="3" xfId="2" applyFont="1" applyFill="1" applyBorder="1"/>
    <xf numFmtId="0" fontId="0" fillId="3" borderId="4" xfId="0" applyFill="1" applyBorder="1"/>
    <xf numFmtId="0" fontId="22" fillId="4" borderId="0" xfId="2" applyFont="1" applyFill="1" applyBorder="1"/>
    <xf numFmtId="0" fontId="19" fillId="4" borderId="0" xfId="0" applyFont="1" applyFill="1" applyBorder="1"/>
    <xf numFmtId="0" fontId="2" fillId="4" borderId="0" xfId="2" applyFont="1" applyFill="1"/>
    <xf numFmtId="0" fontId="23" fillId="0" borderId="0" xfId="0" applyFont="1"/>
    <xf numFmtId="0" fontId="8" fillId="4" borderId="0" xfId="0" applyFont="1" applyFill="1"/>
    <xf numFmtId="0" fontId="13" fillId="4" borderId="0" xfId="0" applyFont="1" applyFill="1"/>
    <xf numFmtId="1" fontId="11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2" fillId="3" borderId="0" xfId="1" applyFill="1" applyBorder="1"/>
    <xf numFmtId="0" fontId="22" fillId="5" borderId="0" xfId="1" applyFont="1" applyFill="1" applyBorder="1"/>
    <xf numFmtId="0" fontId="2" fillId="0" borderId="0" xfId="1" applyFill="1" applyBorder="1"/>
    <xf numFmtId="0" fontId="2" fillId="4" borderId="0" xfId="0" applyFont="1" applyFill="1" applyBorder="1"/>
    <xf numFmtId="0" fontId="6" fillId="0" borderId="0" xfId="0" applyFont="1" applyFill="1" applyBorder="1"/>
    <xf numFmtId="0" fontId="13" fillId="0" borderId="0" xfId="0" applyFont="1" applyBorder="1"/>
    <xf numFmtId="0" fontId="0" fillId="0" borderId="0" xfId="0" applyFill="1" applyBorder="1"/>
    <xf numFmtId="0" fontId="21" fillId="3" borderId="1" xfId="0" applyFont="1" applyFill="1" applyBorder="1" applyAlignment="1">
      <alignment horizontal="center"/>
    </xf>
    <xf numFmtId="0" fontId="13" fillId="5" borderId="0" xfId="0" applyFont="1" applyFill="1"/>
    <xf numFmtId="0" fontId="5" fillId="4" borderId="0" xfId="2" applyFont="1" applyFill="1" applyBorder="1" applyAlignment="1">
      <alignment horizontal="center"/>
    </xf>
    <xf numFmtId="0" fontId="16" fillId="4" borderId="0" xfId="0" applyFont="1" applyFill="1"/>
    <xf numFmtId="0" fontId="24" fillId="0" borderId="0" xfId="0" applyFont="1"/>
    <xf numFmtId="0" fontId="11" fillId="5" borderId="0" xfId="2" applyFont="1" applyFill="1" applyBorder="1" applyAlignment="1">
      <alignment horizontal="center"/>
    </xf>
    <xf numFmtId="0" fontId="25" fillId="5" borderId="0" xfId="0" applyFont="1" applyFill="1"/>
    <xf numFmtId="0" fontId="26" fillId="5" borderId="0" xfId="0" applyFont="1" applyFill="1"/>
    <xf numFmtId="0" fontId="27" fillId="4" borderId="0" xfId="0" applyFont="1" applyFill="1" applyBorder="1" applyAlignment="1">
      <alignment horizontal="center"/>
    </xf>
    <xf numFmtId="0" fontId="21" fillId="0" borderId="0" xfId="0" applyFont="1"/>
    <xf numFmtId="0" fontId="20" fillId="7" borderId="0" xfId="0" applyFont="1" applyFill="1"/>
    <xf numFmtId="0" fontId="1" fillId="7" borderId="0" xfId="0" applyFont="1" applyFill="1"/>
    <xf numFmtId="0" fontId="1" fillId="3" borderId="0" xfId="1" applyFont="1" applyFill="1" applyBorder="1"/>
    <xf numFmtId="0" fontId="13" fillId="4" borderId="0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Border="1"/>
    <xf numFmtId="0" fontId="11" fillId="0" borderId="1" xfId="0" applyFont="1" applyFill="1" applyBorder="1" applyAlignment="1">
      <alignment horizontal="left"/>
    </xf>
    <xf numFmtId="1" fontId="11" fillId="5" borderId="1" xfId="0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9" fontId="0" fillId="0" borderId="1" xfId="0" applyNumberFormat="1" applyFill="1" applyBorder="1"/>
    <xf numFmtId="0" fontId="5" fillId="0" borderId="1" xfId="0" applyFont="1" applyFill="1" applyBorder="1" applyAlignment="1">
      <alignment horizontal="center"/>
    </xf>
    <xf numFmtId="0" fontId="0" fillId="5" borderId="1" xfId="0" applyFill="1" applyBorder="1"/>
    <xf numFmtId="0" fontId="11" fillId="0" borderId="0" xfId="2" applyFont="1" applyFill="1"/>
    <xf numFmtId="0" fontId="11" fillId="0" borderId="0" xfId="2" applyFont="1" applyFill="1" applyBorder="1" applyAlignment="1">
      <alignment horizontal="center"/>
    </xf>
    <xf numFmtId="0" fontId="1" fillId="0" borderId="2" xfId="1" applyFont="1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8" fillId="0" borderId="1" xfId="0" applyFont="1" applyBorder="1"/>
    <xf numFmtId="0" fontId="2" fillId="4" borderId="2" xfId="1" applyFont="1" applyFill="1" applyBorder="1"/>
    <xf numFmtId="0" fontId="3" fillId="4" borderId="0" xfId="1" applyFont="1" applyFill="1" applyBorder="1"/>
    <xf numFmtId="0" fontId="2" fillId="4" borderId="0" xfId="1" applyFill="1"/>
    <xf numFmtId="2" fontId="2" fillId="4" borderId="6" xfId="1" applyNumberFormat="1" applyFill="1" applyBorder="1" applyAlignment="1">
      <alignment horizontal="center"/>
    </xf>
    <xf numFmtId="0" fontId="5" fillId="0" borderId="1" xfId="2" applyFont="1" applyFill="1" applyBorder="1"/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/>
    <xf numFmtId="0" fontId="0" fillId="3" borderId="0" xfId="0" applyFill="1" applyAlignment="1">
      <alignment horizontal="center"/>
    </xf>
    <xf numFmtId="0" fontId="0" fillId="6" borderId="1" xfId="0" applyFill="1" applyBorder="1"/>
    <xf numFmtId="0" fontId="13" fillId="6" borderId="1" xfId="0" applyFont="1" applyFill="1" applyBorder="1"/>
    <xf numFmtId="0" fontId="2" fillId="0" borderId="0" xfId="2" applyFont="1"/>
    <xf numFmtId="0" fontId="4" fillId="0" borderId="1" xfId="2" applyFont="1" applyFill="1" applyBorder="1"/>
    <xf numFmtId="0" fontId="5" fillId="5" borderId="1" xfId="2" applyFont="1" applyFill="1" applyBorder="1" applyAlignment="1">
      <alignment horizontal="center"/>
    </xf>
    <xf numFmtId="0" fontId="20" fillId="5" borderId="0" xfId="0" applyFont="1" applyFill="1"/>
    <xf numFmtId="0" fontId="5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20" fillId="8" borderId="0" xfId="0" applyFont="1" applyFill="1"/>
    <xf numFmtId="2" fontId="12" fillId="4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" fontId="11" fillId="0" borderId="0" xfId="0" applyNumberFormat="1" applyFont="1" applyFill="1" applyBorder="1" applyAlignment="1">
      <alignment horizontal="center"/>
    </xf>
    <xf numFmtId="0" fontId="20" fillId="9" borderId="0" xfId="0" applyFont="1" applyFill="1"/>
    <xf numFmtId="0" fontId="20" fillId="10" borderId="0" xfId="0" applyFont="1" applyFill="1"/>
    <xf numFmtId="0" fontId="2" fillId="3" borderId="1" xfId="1" applyFont="1" applyFill="1" applyBorder="1"/>
    <xf numFmtId="0" fontId="3" fillId="3" borderId="1" xfId="1" applyFont="1" applyFill="1" applyBorder="1"/>
    <xf numFmtId="0" fontId="1" fillId="10" borderId="0" xfId="0" applyFont="1" applyFill="1"/>
    <xf numFmtId="16" fontId="16" fillId="0" borderId="0" xfId="0" applyNumberFormat="1" applyFont="1"/>
    <xf numFmtId="0" fontId="4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5" borderId="1" xfId="2" applyFont="1" applyFill="1" applyBorder="1" applyAlignment="1">
      <alignment horizontal="left"/>
    </xf>
    <xf numFmtId="0" fontId="5" fillId="4" borderId="1" xfId="2" applyFont="1" applyFill="1" applyBorder="1" applyAlignment="1">
      <alignment horizontal="center"/>
    </xf>
    <xf numFmtId="0" fontId="5" fillId="6" borderId="1" xfId="1" applyFont="1" applyFill="1" applyBorder="1"/>
    <xf numFmtId="0" fontId="5" fillId="0" borderId="2" xfId="2" applyFont="1" applyFill="1" applyBorder="1" applyAlignment="1">
      <alignment horizontal="center"/>
    </xf>
    <xf numFmtId="0" fontId="9" fillId="6" borderId="1" xfId="1" applyFont="1" applyFill="1" applyBorder="1"/>
    <xf numFmtId="2" fontId="9" fillId="6" borderId="1" xfId="1" applyNumberFormat="1" applyFont="1" applyFill="1" applyBorder="1" applyAlignment="1">
      <alignment horizontal="center"/>
    </xf>
    <xf numFmtId="0" fontId="20" fillId="11" borderId="0" xfId="0" applyFont="1" applyFill="1"/>
    <xf numFmtId="0" fontId="21" fillId="5" borderId="0" xfId="0" applyFont="1" applyFill="1"/>
    <xf numFmtId="0" fontId="0" fillId="0" borderId="7" xfId="0" applyBorder="1"/>
    <xf numFmtId="0" fontId="8" fillId="0" borderId="7" xfId="0" applyFont="1" applyBorder="1"/>
    <xf numFmtId="0" fontId="8" fillId="0" borderId="0" xfId="0" applyFont="1" applyBorder="1"/>
    <xf numFmtId="0" fontId="28" fillId="0" borderId="0" xfId="0" applyFont="1" applyBorder="1"/>
    <xf numFmtId="0" fontId="28" fillId="0" borderId="0" xfId="0" applyFont="1"/>
  </cellXfs>
  <cellStyles count="8">
    <cellStyle name="Komma 2" xfId="3"/>
    <cellStyle name="Komma 2 2" xfId="5"/>
    <cellStyle name="Komma 3" xfId="4"/>
    <cellStyle name="Komma 3 2" xfId="6"/>
    <cellStyle name="Komma 3 3" xfId="7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>
      <selection activeCell="O4" sqref="O4"/>
    </sheetView>
  </sheetViews>
  <sheetFormatPr defaultRowHeight="15" x14ac:dyDescent="0.25"/>
  <sheetData>
    <row r="1" spans="1:22" x14ac:dyDescent="0.25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2" x14ac:dyDescent="0.25">
      <c r="A2" s="24" t="s">
        <v>33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27"/>
      <c r="Q2" s="27"/>
      <c r="R2" s="27"/>
      <c r="S2" s="27"/>
      <c r="T2" s="27"/>
      <c r="U2" s="27"/>
    </row>
    <row r="3" spans="1:22" x14ac:dyDescent="0.25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30" t="s">
        <v>14</v>
      </c>
      <c r="P3" s="27"/>
      <c r="Q3" s="27"/>
      <c r="R3" s="27"/>
      <c r="S3" s="27"/>
      <c r="T3" s="27"/>
      <c r="U3" s="27"/>
    </row>
    <row r="4" spans="1:22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31"/>
      <c r="Q4" s="27"/>
      <c r="R4" s="27"/>
      <c r="S4" s="27"/>
      <c r="T4" s="27"/>
      <c r="U4" s="27"/>
    </row>
    <row r="5" spans="1:22" x14ac:dyDescent="0.25">
      <c r="A5" s="30" t="s">
        <v>15</v>
      </c>
      <c r="B5" s="32">
        <f>66+4</f>
        <v>70</v>
      </c>
      <c r="C5" s="58">
        <f>70-0.5-0.5+0.75</f>
        <v>69.75</v>
      </c>
      <c r="D5" s="58">
        <f>70+4</f>
        <v>74</v>
      </c>
      <c r="E5" s="58">
        <f>74+2+0.5</f>
        <v>76.5</v>
      </c>
      <c r="F5" s="58">
        <v>77</v>
      </c>
      <c r="G5" s="386">
        <f>77+0.25+0.5</f>
        <v>77.75</v>
      </c>
      <c r="H5" s="58">
        <f>78+4</f>
        <v>82</v>
      </c>
      <c r="I5" s="58">
        <f>82+5-0.5</f>
        <v>86.5</v>
      </c>
      <c r="J5" s="58">
        <v>86</v>
      </c>
      <c r="K5" s="58">
        <f>86-1+3-0.5-0.5</f>
        <v>87</v>
      </c>
      <c r="L5" s="41">
        <f>88-2+2</f>
        <v>88</v>
      </c>
      <c r="M5" s="4">
        <v>90</v>
      </c>
      <c r="N5" s="8">
        <f>SUM(B5:M5)/12</f>
        <v>80.375</v>
      </c>
      <c r="P5" s="27"/>
      <c r="Q5" s="27"/>
      <c r="R5" s="27"/>
      <c r="S5" s="27"/>
      <c r="T5" s="27"/>
      <c r="U5" s="27"/>
    </row>
    <row r="6" spans="1:22" x14ac:dyDescent="0.25">
      <c r="A6" s="30" t="s">
        <v>16</v>
      </c>
      <c r="B6" s="33">
        <f>1-1</f>
        <v>0</v>
      </c>
      <c r="C6" s="33"/>
      <c r="D6" s="33"/>
      <c r="E6" s="33"/>
      <c r="F6" s="33"/>
      <c r="G6" s="33"/>
      <c r="H6" s="33"/>
      <c r="I6" s="33"/>
      <c r="J6" s="33"/>
      <c r="K6" s="33"/>
      <c r="L6" s="43"/>
      <c r="M6" s="9"/>
      <c r="N6" s="10">
        <f>SUM(B6:M6)/12</f>
        <v>0</v>
      </c>
      <c r="P6" s="27"/>
      <c r="Q6" s="27"/>
      <c r="R6" s="27"/>
      <c r="S6" s="27"/>
      <c r="T6" s="27"/>
      <c r="U6" s="27"/>
      <c r="V6" s="27"/>
    </row>
    <row r="7" spans="1:22" x14ac:dyDescent="0.25">
      <c r="A7" s="30" t="s">
        <v>17</v>
      </c>
      <c r="B7" s="34"/>
      <c r="C7" s="34">
        <v>0.5</v>
      </c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4.1666666666666664E-2</v>
      </c>
      <c r="P7" s="27"/>
      <c r="Q7" s="27"/>
      <c r="R7" s="27"/>
      <c r="S7" s="27"/>
      <c r="T7" s="27"/>
      <c r="U7" s="339"/>
      <c r="V7" s="339"/>
    </row>
    <row r="8" spans="1:22" x14ac:dyDescent="0.25">
      <c r="A8" s="30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P8" s="27"/>
      <c r="Q8" s="27"/>
      <c r="R8" s="27"/>
      <c r="S8" s="27"/>
      <c r="T8" s="27"/>
      <c r="U8" s="339"/>
      <c r="V8" s="339"/>
    </row>
    <row r="9" spans="1:22" x14ac:dyDescent="0.25">
      <c r="A9" s="28" t="s">
        <v>34</v>
      </c>
      <c r="B9" s="4">
        <f>B5+(B7*1.5)+(B6*0.8)</f>
        <v>70</v>
      </c>
      <c r="C9" s="4">
        <f>C5+(C7*1.5)+(C6*0.8)</f>
        <v>70.5</v>
      </c>
      <c r="D9" s="4">
        <f>D5+(D7*1.5)+(D6*0.8)</f>
        <v>74</v>
      </c>
      <c r="E9" s="4">
        <f>E5+(E7*1.5)+(E6*0.8)</f>
        <v>76.5</v>
      </c>
      <c r="F9" s="4">
        <f>F5+(F7*1.5)+(F6*0.8)</f>
        <v>77</v>
      </c>
      <c r="G9" s="4">
        <f t="shared" ref="G9:M9" si="0">G5+(G7*1.5)+(G6*0.8)</f>
        <v>77.75</v>
      </c>
      <c r="H9" s="4">
        <f t="shared" si="0"/>
        <v>82</v>
      </c>
      <c r="I9" s="4">
        <f t="shared" si="0"/>
        <v>86.5</v>
      </c>
      <c r="J9" s="4">
        <f t="shared" si="0"/>
        <v>86</v>
      </c>
      <c r="K9" s="4">
        <f t="shared" si="0"/>
        <v>87</v>
      </c>
      <c r="L9" s="4">
        <f t="shared" si="0"/>
        <v>88</v>
      </c>
      <c r="M9" s="4">
        <f t="shared" si="0"/>
        <v>90</v>
      </c>
      <c r="N9" s="10">
        <f>SUM(B9:M9)/12</f>
        <v>80.4375</v>
      </c>
      <c r="P9" s="31"/>
      <c r="Q9" s="27"/>
      <c r="R9" s="27"/>
      <c r="S9" s="27"/>
      <c r="T9" s="27"/>
      <c r="U9" s="339"/>
      <c r="V9" s="339"/>
    </row>
    <row r="10" spans="1:22" x14ac:dyDescent="0.25">
      <c r="A10" s="51"/>
      <c r="B10" s="52">
        <v>4</v>
      </c>
      <c r="C10" s="53">
        <v>2</v>
      </c>
      <c r="D10" s="53">
        <v>4</v>
      </c>
      <c r="E10" s="53">
        <v>3</v>
      </c>
      <c r="F10" s="53">
        <v>0</v>
      </c>
      <c r="G10" s="53">
        <v>2</v>
      </c>
      <c r="H10" s="53">
        <v>4</v>
      </c>
      <c r="I10" s="53">
        <v>5</v>
      </c>
      <c r="J10" s="53">
        <v>0</v>
      </c>
      <c r="K10" s="53">
        <v>3</v>
      </c>
      <c r="L10" s="53">
        <v>2</v>
      </c>
      <c r="M10" s="53">
        <v>2</v>
      </c>
      <c r="N10" s="62">
        <f>SUM(B10:M10)</f>
        <v>31</v>
      </c>
      <c r="P10" s="27"/>
      <c r="Q10" s="27"/>
      <c r="R10" s="27"/>
      <c r="S10" s="27"/>
      <c r="T10" s="27"/>
      <c r="U10" s="339"/>
      <c r="V10" s="339"/>
    </row>
    <row r="11" spans="1:22" x14ac:dyDescent="0.25">
      <c r="A11" s="51"/>
      <c r="B11" s="52"/>
      <c r="C11" s="54" t="s">
        <v>44</v>
      </c>
      <c r="D11" s="55" t="s">
        <v>37</v>
      </c>
      <c r="E11" s="53"/>
      <c r="F11" s="53"/>
      <c r="G11" t="s">
        <v>210</v>
      </c>
      <c r="H11" s="53" t="s">
        <v>46</v>
      </c>
      <c r="I11" s="53" t="s">
        <v>136</v>
      </c>
      <c r="J11" s="53"/>
      <c r="K11" s="53" t="s">
        <v>47</v>
      </c>
      <c r="L11" s="53"/>
      <c r="M11" s="53" t="s">
        <v>46</v>
      </c>
      <c r="N11" s="56"/>
      <c r="P11" s="27"/>
      <c r="Q11" s="27"/>
      <c r="R11" s="27"/>
      <c r="S11" s="27"/>
      <c r="T11" s="27"/>
      <c r="U11" s="339"/>
      <c r="V11" s="339"/>
    </row>
    <row r="12" spans="1:22" x14ac:dyDescent="0.25">
      <c r="A12" s="51"/>
      <c r="B12" s="52"/>
      <c r="C12" s="54" t="s">
        <v>45</v>
      </c>
      <c r="D12" s="55"/>
      <c r="E12" s="53" t="s">
        <v>135</v>
      </c>
      <c r="F12" s="53"/>
      <c r="G12" s="59"/>
      <c r="H12" s="53" t="s">
        <v>134</v>
      </c>
      <c r="I12" s="59" t="s">
        <v>287</v>
      </c>
      <c r="J12" s="59" t="s">
        <v>101</v>
      </c>
      <c r="K12" s="59" t="s">
        <v>318</v>
      </c>
      <c r="L12" s="59"/>
      <c r="M12" s="59" t="s">
        <v>137</v>
      </c>
      <c r="N12" s="338"/>
      <c r="O12" s="27"/>
      <c r="P12" s="27"/>
      <c r="Q12" s="27"/>
      <c r="R12" s="27"/>
      <c r="S12" s="27"/>
      <c r="T12" s="27"/>
      <c r="U12" s="339"/>
      <c r="V12" s="339"/>
    </row>
    <row r="13" spans="1:22" x14ac:dyDescent="0.25">
      <c r="A13" s="35"/>
      <c r="B13" s="36"/>
      <c r="C13" s="53" t="s">
        <v>36</v>
      </c>
      <c r="D13" s="45"/>
      <c r="E13" s="37"/>
      <c r="F13" s="37"/>
      <c r="G13" s="54" t="s">
        <v>209</v>
      </c>
      <c r="H13" s="49"/>
      <c r="I13" s="49"/>
      <c r="J13" s="49"/>
      <c r="K13" s="49"/>
      <c r="L13" s="49"/>
      <c r="M13" s="49"/>
      <c r="N13" s="50"/>
      <c r="P13" s="27"/>
      <c r="Q13" s="27"/>
      <c r="R13" s="27"/>
      <c r="S13" s="27"/>
      <c r="T13" s="27"/>
      <c r="U13" s="339"/>
      <c r="V13" s="339"/>
    </row>
    <row r="14" spans="1:22" x14ac:dyDescent="0.25">
      <c r="A14" s="292" t="s">
        <v>107</v>
      </c>
      <c r="B14" s="293"/>
      <c r="C14" s="293">
        <v>0</v>
      </c>
      <c r="D14" s="293">
        <v>0</v>
      </c>
      <c r="E14" s="293">
        <f>1+0.5+0.5</f>
        <v>2</v>
      </c>
      <c r="F14" s="293">
        <f>3+0.5</f>
        <v>3.5</v>
      </c>
      <c r="G14" s="293">
        <f>4+3+0.5</f>
        <v>7.5</v>
      </c>
      <c r="H14" s="293">
        <f>8+1+0.5</f>
        <v>9.5</v>
      </c>
      <c r="I14" s="293">
        <f>10+0.5+0.5-2</f>
        <v>9</v>
      </c>
      <c r="J14" s="293">
        <v>10</v>
      </c>
      <c r="K14" s="293">
        <f>10-1+2+0.5</f>
        <v>11.5</v>
      </c>
      <c r="L14" s="293">
        <f>12+0.25</f>
        <v>12.25</v>
      </c>
      <c r="M14" s="293">
        <f>13-1</f>
        <v>12</v>
      </c>
      <c r="N14" s="294">
        <f>SUM(B14+C14+D14+E14+F14+G14+H14+I14+J14+K14+L14+M14)/12</f>
        <v>6.4375</v>
      </c>
      <c r="O14" s="299"/>
    </row>
    <row r="15" spans="1:22" x14ac:dyDescent="0.25">
      <c r="A15" s="292" t="s">
        <v>108</v>
      </c>
      <c r="B15" s="293"/>
      <c r="C15" s="411"/>
      <c r="D15" s="411"/>
      <c r="E15" s="411">
        <v>3</v>
      </c>
      <c r="F15" s="411">
        <v>1</v>
      </c>
      <c r="G15" s="411">
        <v>4</v>
      </c>
      <c r="H15" s="411">
        <v>2</v>
      </c>
      <c r="I15" s="411">
        <v>2</v>
      </c>
      <c r="J15" s="411"/>
      <c r="K15" s="411">
        <v>3</v>
      </c>
      <c r="L15" s="411"/>
      <c r="M15" s="411"/>
      <c r="N15" s="412"/>
      <c r="O15" s="299"/>
    </row>
    <row r="16" spans="1:22" x14ac:dyDescent="0.25">
      <c r="A16" s="51"/>
      <c r="B16" s="52"/>
      <c r="C16" s="53"/>
      <c r="D16" s="55"/>
      <c r="E16" s="53" t="s">
        <v>268</v>
      </c>
      <c r="F16" s="398">
        <v>41989</v>
      </c>
      <c r="G16" s="346" t="s">
        <v>269</v>
      </c>
      <c r="H16" s="59" t="s">
        <v>270</v>
      </c>
      <c r="I16" s="59" t="s">
        <v>272</v>
      </c>
      <c r="J16" s="59"/>
      <c r="K16" s="59" t="s">
        <v>273</v>
      </c>
      <c r="L16" s="59">
        <v>1</v>
      </c>
      <c r="M16" s="59"/>
      <c r="N16" s="396"/>
      <c r="P16" s="27"/>
      <c r="Q16" s="27"/>
      <c r="R16" s="27"/>
      <c r="S16" s="27"/>
      <c r="T16" s="27"/>
      <c r="U16" s="339"/>
      <c r="V16" s="339"/>
    </row>
    <row r="17" spans="1:22" x14ac:dyDescent="0.25">
      <c r="A17" s="51"/>
      <c r="B17" s="397"/>
      <c r="C17" s="53"/>
      <c r="D17" s="55"/>
      <c r="I17" s="59" t="s">
        <v>271</v>
      </c>
      <c r="J17" s="59"/>
      <c r="K17" s="59" t="s">
        <v>101</v>
      </c>
      <c r="L17" s="59" t="s">
        <v>322</v>
      </c>
      <c r="M17" s="59" t="s">
        <v>192</v>
      </c>
      <c r="N17" s="396"/>
      <c r="O17" s="340"/>
      <c r="P17" s="339"/>
      <c r="Q17" s="339"/>
      <c r="R17" s="339"/>
      <c r="S17" s="339"/>
      <c r="T17" s="27"/>
      <c r="U17" s="339"/>
      <c r="V17" s="339"/>
    </row>
    <row r="18" spans="1:22" s="2" customFormat="1" x14ac:dyDescent="0.25">
      <c r="A18" s="1" t="s">
        <v>0</v>
      </c>
      <c r="B18" s="1"/>
      <c r="C18" s="1"/>
      <c r="D18" s="1"/>
    </row>
    <row r="19" spans="1:22" s="2" customFormat="1" x14ac:dyDescent="0.25">
      <c r="A19" s="3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5" t="s">
        <v>14</v>
      </c>
    </row>
    <row r="20" spans="1:22" s="2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22" s="2" customFormat="1" x14ac:dyDescent="0.25">
      <c r="A21" s="5" t="s">
        <v>15</v>
      </c>
      <c r="B21" s="6">
        <f>94-28+4</f>
        <v>70</v>
      </c>
      <c r="C21" s="4">
        <f>70-2</f>
        <v>68</v>
      </c>
      <c r="D21" s="4">
        <v>72</v>
      </c>
      <c r="E21" s="4">
        <v>75</v>
      </c>
      <c r="F21" s="4">
        <v>75</v>
      </c>
      <c r="G21" s="7">
        <v>76</v>
      </c>
      <c r="H21" s="4">
        <v>78</v>
      </c>
      <c r="I21" s="4">
        <v>81</v>
      </c>
      <c r="J21" s="4">
        <v>81</v>
      </c>
      <c r="K21" s="4">
        <v>84</v>
      </c>
      <c r="L21" s="4">
        <v>86</v>
      </c>
      <c r="M21" s="4">
        <v>87</v>
      </c>
      <c r="N21" s="8">
        <f>SUM(B21:M21)/12</f>
        <v>77.75</v>
      </c>
    </row>
    <row r="22" spans="1:22" s="2" customFormat="1" x14ac:dyDescent="0.25">
      <c r="A22" s="5" t="s">
        <v>16</v>
      </c>
      <c r="B22" s="9"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>SUM(B22:M22)/12</f>
        <v>0</v>
      </c>
    </row>
    <row r="23" spans="1:22" s="2" customFormat="1" x14ac:dyDescent="0.25">
      <c r="A23" s="5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>
        <f>SUM(B23:M23)/12</f>
        <v>0</v>
      </c>
    </row>
    <row r="24" spans="1:22" s="2" customFormat="1" x14ac:dyDescent="0.25">
      <c r="A24" s="5"/>
      <c r="B24" s="11"/>
      <c r="C24" s="11"/>
      <c r="D24" s="11"/>
      <c r="E24" s="11"/>
      <c r="F24" s="11"/>
      <c r="G24" s="11"/>
      <c r="H24" s="9"/>
      <c r="I24" s="11"/>
      <c r="J24" s="11"/>
      <c r="K24" s="11"/>
      <c r="L24" s="11"/>
      <c r="M24" s="11"/>
      <c r="N24" s="12"/>
      <c r="O24" s="13">
        <v>0.95</v>
      </c>
    </row>
    <row r="25" spans="1:22" s="2" customFormat="1" x14ac:dyDescent="0.25">
      <c r="A25" s="3" t="s">
        <v>18</v>
      </c>
      <c r="B25" s="4">
        <f>B21+(B23*1.5)+(B22*0.8)</f>
        <v>70</v>
      </c>
      <c r="C25" s="4">
        <f>C21+(C23*1.5)+(C22*0.8)</f>
        <v>68</v>
      </c>
      <c r="D25" s="4">
        <f>D21+(D23*1.5)+(D22*0.8)</f>
        <v>72</v>
      </c>
      <c r="E25" s="4">
        <f>E21+(E23*1.5)+(E22*0.8)</f>
        <v>75</v>
      </c>
      <c r="F25" s="4">
        <f>F21+(F23*1.5)+(F22*0.8)</f>
        <v>75</v>
      </c>
      <c r="G25" s="4">
        <f t="shared" ref="G25:M25" si="1">G21+(G23*1.5)+(G22*0.8)</f>
        <v>76</v>
      </c>
      <c r="H25" s="4">
        <f t="shared" si="1"/>
        <v>78</v>
      </c>
      <c r="I25" s="4">
        <f t="shared" si="1"/>
        <v>81</v>
      </c>
      <c r="J25" s="4">
        <f t="shared" si="1"/>
        <v>81</v>
      </c>
      <c r="K25" s="4">
        <f t="shared" si="1"/>
        <v>84</v>
      </c>
      <c r="L25" s="4">
        <f t="shared" si="1"/>
        <v>86</v>
      </c>
      <c r="M25" s="4">
        <f t="shared" si="1"/>
        <v>87</v>
      </c>
      <c r="N25" s="10">
        <f>SUM(B25:M25)/12</f>
        <v>77.75</v>
      </c>
      <c r="O25" s="2" t="s">
        <v>174</v>
      </c>
    </row>
    <row r="26" spans="1:22" s="2" customFormat="1" x14ac:dyDescent="0.25">
      <c r="A26" s="14" t="s">
        <v>19</v>
      </c>
      <c r="B26" s="15">
        <v>4</v>
      </c>
      <c r="C26" s="16"/>
      <c r="D26" s="16">
        <v>4</v>
      </c>
      <c r="E26" s="16">
        <v>3</v>
      </c>
      <c r="F26" s="16">
        <v>0</v>
      </c>
      <c r="G26" s="16">
        <v>1</v>
      </c>
      <c r="H26" s="16">
        <v>2</v>
      </c>
      <c r="I26" s="16">
        <v>3</v>
      </c>
      <c r="J26" s="16">
        <v>0</v>
      </c>
      <c r="K26" s="16">
        <v>3</v>
      </c>
      <c r="L26" s="16">
        <v>2</v>
      </c>
      <c r="M26" s="16">
        <v>1</v>
      </c>
      <c r="N26" s="17">
        <f>SUM(B26:M26)</f>
        <v>23</v>
      </c>
    </row>
    <row r="27" spans="1:22" x14ac:dyDescent="0.25">
      <c r="B27" s="18" t="s">
        <v>20</v>
      </c>
      <c r="C27" s="19" t="s">
        <v>21</v>
      </c>
      <c r="L27" t="s">
        <v>22</v>
      </c>
    </row>
    <row r="28" spans="1:22" x14ac:dyDescent="0.25">
      <c r="B28" s="18" t="s">
        <v>23</v>
      </c>
      <c r="C28" s="19" t="s">
        <v>24</v>
      </c>
      <c r="M28" t="s">
        <v>25</v>
      </c>
    </row>
    <row r="30" spans="1:22" s="2" customFormat="1" x14ac:dyDescent="0.25">
      <c r="A30" s="403" t="s">
        <v>303</v>
      </c>
      <c r="B30" s="403"/>
      <c r="C30" s="403"/>
      <c r="D30" s="403"/>
    </row>
    <row r="31" spans="1:22" s="2" customFormat="1" x14ac:dyDescent="0.25">
      <c r="A31" s="3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5" t="s">
        <v>14</v>
      </c>
    </row>
    <row r="32" spans="1:22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5" s="2" customFormat="1" x14ac:dyDescent="0.25">
      <c r="A33" s="5" t="s">
        <v>15</v>
      </c>
      <c r="B33" s="6">
        <f>90-34+1</f>
        <v>57</v>
      </c>
      <c r="C33" s="4">
        <v>60</v>
      </c>
      <c r="D33" s="4">
        <v>60</v>
      </c>
      <c r="E33" s="4">
        <v>61</v>
      </c>
      <c r="F33" s="4">
        <v>64</v>
      </c>
      <c r="G33" s="7">
        <v>65</v>
      </c>
      <c r="H33" s="4">
        <v>65</v>
      </c>
      <c r="I33" s="4">
        <v>68</v>
      </c>
      <c r="J33" s="4">
        <v>69</v>
      </c>
      <c r="K33" s="4">
        <v>70</v>
      </c>
      <c r="L33" s="4">
        <v>72</v>
      </c>
      <c r="M33" s="4">
        <v>74</v>
      </c>
      <c r="N33" s="8">
        <f>SUM(B33:M33)/12</f>
        <v>65.416666666666671</v>
      </c>
    </row>
    <row r="34" spans="1:15" s="2" customFormat="1" x14ac:dyDescent="0.25">
      <c r="A34" s="5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>
        <f>SUM(B34:M34)/12</f>
        <v>0</v>
      </c>
    </row>
    <row r="35" spans="1:15" s="2" customFormat="1" x14ac:dyDescent="0.25">
      <c r="A35" s="5" t="s">
        <v>17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>
        <f>SUM(B35:M35)/12</f>
        <v>0</v>
      </c>
    </row>
    <row r="36" spans="1:15" s="2" customFormat="1" x14ac:dyDescent="0.25">
      <c r="A36" s="5"/>
      <c r="B36" s="11"/>
      <c r="C36" s="11"/>
      <c r="D36" s="11"/>
      <c r="E36" s="11"/>
      <c r="F36" s="11"/>
      <c r="G36" s="11"/>
      <c r="H36" s="9"/>
      <c r="I36" s="11"/>
      <c r="J36" s="11"/>
      <c r="K36" s="11"/>
      <c r="L36" s="11"/>
      <c r="M36" s="11"/>
      <c r="N36" s="12"/>
      <c r="O36" s="13"/>
    </row>
    <row r="37" spans="1:15" s="2" customFormat="1" x14ac:dyDescent="0.25">
      <c r="A37" s="3" t="s">
        <v>18</v>
      </c>
      <c r="B37" s="4">
        <f>B33+(B35*1.5)+(B34*0.8)</f>
        <v>57</v>
      </c>
      <c r="C37" s="4">
        <f>C33+(C35*1.5)+(C34*0.8)</f>
        <v>60</v>
      </c>
      <c r="D37" s="4">
        <f>D33+(D35*1.5)+(D34*0.8)</f>
        <v>60</v>
      </c>
      <c r="E37" s="4">
        <f>E33+(E35*1.5)+(E34*0.8)</f>
        <v>61</v>
      </c>
      <c r="F37" s="4">
        <f>F33+(F35*1.5)+(F34*0.8)</f>
        <v>64</v>
      </c>
      <c r="G37" s="4">
        <f t="shared" ref="G37:M37" si="2">G33+(G35*1.5)+(G34*0.8)</f>
        <v>65</v>
      </c>
      <c r="H37" s="4">
        <f t="shared" si="2"/>
        <v>65</v>
      </c>
      <c r="I37" s="4">
        <f t="shared" si="2"/>
        <v>68</v>
      </c>
      <c r="J37" s="4">
        <f t="shared" si="2"/>
        <v>69</v>
      </c>
      <c r="K37" s="4">
        <f t="shared" si="2"/>
        <v>70</v>
      </c>
      <c r="L37" s="4">
        <f t="shared" si="2"/>
        <v>72</v>
      </c>
      <c r="M37" s="4">
        <f t="shared" si="2"/>
        <v>74</v>
      </c>
      <c r="N37" s="10">
        <f>SUM(B37:M37)/12</f>
        <v>65.416666666666671</v>
      </c>
    </row>
    <row r="38" spans="1:15" s="2" customFormat="1" x14ac:dyDescent="0.25">
      <c r="A38" s="14" t="s">
        <v>19</v>
      </c>
      <c r="B38" s="15">
        <v>1</v>
      </c>
      <c r="C38" s="16">
        <v>3</v>
      </c>
      <c r="D38" s="16"/>
      <c r="E38" s="16">
        <v>1</v>
      </c>
      <c r="F38" s="16">
        <v>3</v>
      </c>
      <c r="G38" s="16">
        <v>1</v>
      </c>
      <c r="H38" s="16">
        <v>0</v>
      </c>
      <c r="I38" s="16">
        <v>3</v>
      </c>
      <c r="J38" s="16">
        <v>1</v>
      </c>
      <c r="K38" s="16">
        <v>1</v>
      </c>
      <c r="L38" s="16">
        <v>2</v>
      </c>
      <c r="M38" s="16">
        <v>2</v>
      </c>
      <c r="N38" s="17">
        <f>SUM(B38:M38)</f>
        <v>18</v>
      </c>
    </row>
    <row r="39" spans="1:15" s="2" customFormat="1" x14ac:dyDescent="0.25">
      <c r="A39" s="405"/>
      <c r="B39" s="15" t="s">
        <v>319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406"/>
    </row>
    <row r="41" spans="1:15" x14ac:dyDescent="0.25">
      <c r="A41" s="292" t="s">
        <v>107</v>
      </c>
      <c r="B41" s="293">
        <v>12</v>
      </c>
      <c r="C41" s="293">
        <v>12</v>
      </c>
      <c r="D41" s="293">
        <v>12</v>
      </c>
      <c r="E41" s="293">
        <v>12</v>
      </c>
      <c r="F41" s="293">
        <v>12</v>
      </c>
      <c r="G41" s="293">
        <v>12</v>
      </c>
      <c r="H41" s="293">
        <v>12</v>
      </c>
      <c r="I41" s="293">
        <v>12</v>
      </c>
      <c r="J41" s="293">
        <v>12</v>
      </c>
      <c r="K41" s="293">
        <v>12</v>
      </c>
      <c r="L41" s="293">
        <v>12</v>
      </c>
      <c r="M41" s="293">
        <v>12</v>
      </c>
      <c r="N41" s="294">
        <f>SUM(B41+C41+D41+E41+F41+G41+H41+I41+J41+K41+L41+M41)/12</f>
        <v>12</v>
      </c>
      <c r="O41" s="299"/>
    </row>
    <row r="42" spans="1:15" x14ac:dyDescent="0.25">
      <c r="A42" s="292" t="s">
        <v>108</v>
      </c>
      <c r="B42" s="293"/>
      <c r="C42" s="293"/>
      <c r="D42" s="293"/>
      <c r="E42" s="293"/>
      <c r="F42" s="293"/>
      <c r="G42" s="293"/>
      <c r="H42" s="293"/>
      <c r="I42" s="293" t="s">
        <v>274</v>
      </c>
      <c r="J42" s="293"/>
      <c r="K42" s="293"/>
      <c r="L42" s="293"/>
      <c r="M42" s="293"/>
      <c r="N42" s="294"/>
      <c r="O42" s="299"/>
    </row>
    <row r="43" spans="1:15" x14ac:dyDescent="0.25">
      <c r="I43">
        <v>1</v>
      </c>
    </row>
    <row r="44" spans="1:15" x14ac:dyDescent="0.25">
      <c r="I44" t="s">
        <v>275</v>
      </c>
    </row>
    <row r="45" spans="1:15" x14ac:dyDescent="0.25">
      <c r="I45" t="s">
        <v>276</v>
      </c>
    </row>
    <row r="46" spans="1:15" s="2" customFormat="1" x14ac:dyDescent="0.25">
      <c r="A46" s="359" t="s">
        <v>162</v>
      </c>
      <c r="B46" s="359"/>
      <c r="C46" s="359"/>
      <c r="D46" s="359"/>
    </row>
    <row r="47" spans="1:15" s="2" customFormat="1" x14ac:dyDescent="0.25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5" t="s">
        <v>14</v>
      </c>
    </row>
    <row r="48" spans="1:15" s="2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22" s="2" customFormat="1" x14ac:dyDescent="0.25">
      <c r="A49" s="5" t="s">
        <v>15</v>
      </c>
      <c r="B49" s="6">
        <f>95-35+1</f>
        <v>61</v>
      </c>
      <c r="C49" s="4">
        <v>64</v>
      </c>
      <c r="D49" s="4">
        <v>65</v>
      </c>
      <c r="E49" s="4">
        <v>66</v>
      </c>
      <c r="F49" s="4">
        <v>69</v>
      </c>
      <c r="G49" s="7">
        <v>70</v>
      </c>
      <c r="H49" s="4">
        <v>70</v>
      </c>
      <c r="I49" s="4">
        <v>71</v>
      </c>
      <c r="J49" s="4">
        <v>72</v>
      </c>
      <c r="K49" s="4">
        <v>73</v>
      </c>
      <c r="L49" s="4">
        <v>75</v>
      </c>
      <c r="M49" s="4">
        <v>79</v>
      </c>
      <c r="N49" s="8">
        <f>SUM(B49:M49)/12</f>
        <v>69.583333333333329</v>
      </c>
    </row>
    <row r="50" spans="1:22" s="2" customFormat="1" x14ac:dyDescent="0.25">
      <c r="A50" s="5" t="s">
        <v>16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>
        <f>SUM(B50:M50)/12</f>
        <v>0</v>
      </c>
    </row>
    <row r="51" spans="1:22" s="2" customFormat="1" x14ac:dyDescent="0.25">
      <c r="A51" s="5" t="s">
        <v>17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0">
        <f>SUM(B51:M51)/12</f>
        <v>0</v>
      </c>
    </row>
    <row r="52" spans="1:22" s="2" customFormat="1" x14ac:dyDescent="0.25">
      <c r="A52" s="5"/>
      <c r="B52" s="11"/>
      <c r="C52" s="11"/>
      <c r="D52" s="11"/>
      <c r="E52" s="11"/>
      <c r="F52" s="11"/>
      <c r="G52" s="11"/>
      <c r="H52" s="9"/>
      <c r="I52" s="11"/>
      <c r="J52" s="11"/>
      <c r="K52" s="11"/>
      <c r="L52" s="11"/>
      <c r="M52" s="11"/>
      <c r="N52" s="12"/>
      <c r="O52" s="13"/>
    </row>
    <row r="53" spans="1:22" s="2" customFormat="1" x14ac:dyDescent="0.25">
      <c r="A53" s="3" t="s">
        <v>18</v>
      </c>
      <c r="B53" s="4">
        <f>B49+(B51*1.5)+(B50*0.8)</f>
        <v>61</v>
      </c>
      <c r="C53" s="4">
        <f>C49+(C51*1.5)+(C50*0.8)</f>
        <v>64</v>
      </c>
      <c r="D53" s="4">
        <f>D49+(D51*1.5)+(D50*0.8)</f>
        <v>65</v>
      </c>
      <c r="E53" s="4">
        <f>E49+(E51*1.5)+(E50*0.8)</f>
        <v>66</v>
      </c>
      <c r="F53" s="4">
        <f>F49+(F51*1.5)+(F50*0.8)</f>
        <v>69</v>
      </c>
      <c r="G53" s="4">
        <f t="shared" ref="G53:M53" si="3">G49+(G51*1.5)+(G50*0.8)</f>
        <v>70</v>
      </c>
      <c r="H53" s="4">
        <f t="shared" si="3"/>
        <v>70</v>
      </c>
      <c r="I53" s="4">
        <f t="shared" si="3"/>
        <v>71</v>
      </c>
      <c r="J53" s="4">
        <f t="shared" si="3"/>
        <v>72</v>
      </c>
      <c r="K53" s="4">
        <f t="shared" si="3"/>
        <v>73</v>
      </c>
      <c r="L53" s="4">
        <f t="shared" si="3"/>
        <v>75</v>
      </c>
      <c r="M53" s="4">
        <f t="shared" si="3"/>
        <v>79</v>
      </c>
      <c r="N53" s="10">
        <f>SUM(B53:M53)/12</f>
        <v>69.583333333333329</v>
      </c>
    </row>
    <row r="54" spans="1:22" s="2" customFormat="1" x14ac:dyDescent="0.25">
      <c r="A54" s="14" t="s">
        <v>19</v>
      </c>
      <c r="B54" s="15">
        <v>1</v>
      </c>
      <c r="C54" s="16">
        <v>3</v>
      </c>
      <c r="D54" s="16">
        <v>1</v>
      </c>
      <c r="E54" s="16">
        <v>1</v>
      </c>
      <c r="F54" s="16">
        <v>3</v>
      </c>
      <c r="G54" s="16">
        <v>1</v>
      </c>
      <c r="H54" s="16">
        <v>0</v>
      </c>
      <c r="I54" s="16">
        <v>1</v>
      </c>
      <c r="J54" s="16">
        <v>1</v>
      </c>
      <c r="K54" s="16">
        <v>1</v>
      </c>
      <c r="L54" s="16">
        <v>2</v>
      </c>
      <c r="M54" s="16">
        <v>3</v>
      </c>
      <c r="N54" s="17">
        <f>SUM(B54:M54)</f>
        <v>18</v>
      </c>
    </row>
    <row r="56" spans="1:22" x14ac:dyDescent="0.25">
      <c r="A56" s="292" t="s">
        <v>107</v>
      </c>
      <c r="B56" s="293">
        <f>8+3</f>
        <v>11</v>
      </c>
      <c r="C56" s="293">
        <v>11</v>
      </c>
      <c r="D56" s="293">
        <v>12</v>
      </c>
      <c r="E56" s="293">
        <v>12</v>
      </c>
      <c r="F56" s="293">
        <v>12</v>
      </c>
      <c r="G56" s="293">
        <v>12</v>
      </c>
      <c r="H56" s="293">
        <v>12</v>
      </c>
      <c r="I56" s="293">
        <v>11</v>
      </c>
      <c r="J56" s="293">
        <v>11</v>
      </c>
      <c r="K56" s="293">
        <v>11</v>
      </c>
      <c r="L56" s="293">
        <v>11</v>
      </c>
      <c r="M56" s="293">
        <v>11</v>
      </c>
      <c r="N56" s="294">
        <f>SUM(B56+C56+D56+E56+F56+G56+H56+I56+J56+K56+L56+M56)/12</f>
        <v>11.416666666666666</v>
      </c>
      <c r="O56" s="299"/>
    </row>
    <row r="57" spans="1:22" x14ac:dyDescent="0.25">
      <c r="A57" s="292" t="s">
        <v>108</v>
      </c>
      <c r="B57" s="293" t="s">
        <v>218</v>
      </c>
      <c r="C57" s="293"/>
      <c r="D57" s="293" t="s">
        <v>217</v>
      </c>
      <c r="E57" s="293"/>
      <c r="F57" s="293"/>
      <c r="G57" s="293"/>
      <c r="H57" s="293"/>
      <c r="I57" s="293" t="s">
        <v>219</v>
      </c>
      <c r="J57" s="293"/>
      <c r="K57" s="293"/>
      <c r="L57" s="293"/>
      <c r="M57" s="293"/>
      <c r="N57" s="294"/>
      <c r="O57" s="299"/>
    </row>
    <row r="59" spans="1:22" x14ac:dyDescent="0.25">
      <c r="A59" s="360" t="s">
        <v>147</v>
      </c>
      <c r="B59" s="341"/>
      <c r="C59" s="341"/>
      <c r="D59" s="342"/>
      <c r="E59" s="342"/>
      <c r="F59" s="342"/>
      <c r="G59" s="342"/>
      <c r="H59" s="342"/>
      <c r="I59" s="343"/>
      <c r="J59" s="343"/>
      <c r="K59" s="343"/>
      <c r="L59" s="343"/>
      <c r="M59" s="343"/>
      <c r="N59" s="343"/>
      <c r="O59" s="340"/>
      <c r="P59" s="339"/>
      <c r="Q59" s="339"/>
      <c r="R59" s="339"/>
      <c r="S59" s="339"/>
      <c r="T59" s="27"/>
      <c r="U59" s="339"/>
      <c r="V59" s="339"/>
    </row>
    <row r="60" spans="1:22" x14ac:dyDescent="0.25">
      <c r="A60" s="303" t="s">
        <v>1</v>
      </c>
      <c r="B60" s="304" t="s">
        <v>2</v>
      </c>
      <c r="C60" s="304" t="s">
        <v>3</v>
      </c>
      <c r="D60" s="304" t="s">
        <v>4</v>
      </c>
      <c r="E60" s="304" t="s">
        <v>5</v>
      </c>
      <c r="F60" s="304" t="s">
        <v>6</v>
      </c>
      <c r="G60" s="304" t="s">
        <v>7</v>
      </c>
      <c r="H60" s="304" t="s">
        <v>8</v>
      </c>
      <c r="I60" s="304" t="s">
        <v>9</v>
      </c>
      <c r="J60" s="304" t="s">
        <v>10</v>
      </c>
      <c r="K60" s="304" t="s">
        <v>11</v>
      </c>
      <c r="L60" s="304" t="s">
        <v>12</v>
      </c>
      <c r="M60" s="304" t="s">
        <v>13</v>
      </c>
      <c r="N60" s="305" t="s">
        <v>14</v>
      </c>
      <c r="O60" s="340"/>
      <c r="P60" s="339"/>
      <c r="Q60" s="339"/>
      <c r="R60" s="339"/>
      <c r="S60" s="339"/>
      <c r="T60" s="27"/>
      <c r="U60" s="339"/>
      <c r="V60" s="339"/>
    </row>
    <row r="61" spans="1:22" x14ac:dyDescent="0.2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40"/>
      <c r="P61" s="344"/>
      <c r="Q61" s="339"/>
      <c r="R61" s="339"/>
      <c r="S61" s="339"/>
      <c r="T61" s="27"/>
      <c r="U61" s="339"/>
      <c r="V61" s="339"/>
    </row>
    <row r="62" spans="1:22" x14ac:dyDescent="0.25">
      <c r="A62" s="305" t="s">
        <v>15</v>
      </c>
      <c r="B62" s="32">
        <f>66+4</f>
        <v>70</v>
      </c>
      <c r="C62" s="58">
        <f>70-0.5-0.5+0.75</f>
        <v>69.75</v>
      </c>
      <c r="D62" s="58">
        <v>74</v>
      </c>
      <c r="E62" s="58">
        <v>76.5</v>
      </c>
      <c r="F62" s="41">
        <v>77</v>
      </c>
      <c r="G62" s="41">
        <v>78</v>
      </c>
      <c r="H62" s="41">
        <v>82</v>
      </c>
      <c r="I62" s="41">
        <v>87</v>
      </c>
      <c r="J62" s="41">
        <v>87</v>
      </c>
      <c r="K62" s="41">
        <v>89</v>
      </c>
      <c r="L62" s="41">
        <v>89</v>
      </c>
      <c r="M62" s="4">
        <v>91</v>
      </c>
      <c r="N62" s="8">
        <f>SUM(B62:M62)/12</f>
        <v>80.854166666666671</v>
      </c>
      <c r="O62" s="340"/>
      <c r="P62" s="339"/>
      <c r="Q62" s="339"/>
      <c r="R62" s="339"/>
      <c r="S62" s="339"/>
      <c r="T62" s="27"/>
      <c r="U62" s="339"/>
      <c r="V62" s="339"/>
    </row>
    <row r="63" spans="1:22" x14ac:dyDescent="0.25">
      <c r="A63" s="305" t="s">
        <v>16</v>
      </c>
      <c r="B63" s="33">
        <f>1-1</f>
        <v>0</v>
      </c>
      <c r="C63" s="33"/>
      <c r="D63" s="33"/>
      <c r="E63" s="33"/>
      <c r="F63" s="43"/>
      <c r="G63" s="43"/>
      <c r="H63" s="43"/>
      <c r="I63" s="43"/>
      <c r="J63" s="43"/>
      <c r="K63" s="43"/>
      <c r="L63" s="43"/>
      <c r="M63" s="9"/>
      <c r="N63" s="10">
        <f>SUM(B63:M63)/12</f>
        <v>0</v>
      </c>
      <c r="O63" s="340"/>
      <c r="P63" s="339"/>
      <c r="Q63" s="339"/>
      <c r="R63" s="339"/>
      <c r="S63" s="339"/>
      <c r="T63" s="27"/>
      <c r="U63" s="339"/>
      <c r="V63" s="339"/>
    </row>
    <row r="64" spans="1:22" x14ac:dyDescent="0.25">
      <c r="A64" s="305" t="s">
        <v>17</v>
      </c>
      <c r="B64" s="34"/>
      <c r="C64" s="34">
        <v>0.5</v>
      </c>
      <c r="D64" s="34"/>
      <c r="E64" s="34"/>
      <c r="F64" s="44"/>
      <c r="G64" s="44"/>
      <c r="H64" s="44"/>
      <c r="I64" s="44"/>
      <c r="J64" s="44"/>
      <c r="K64" s="44"/>
      <c r="L64" s="44"/>
      <c r="M64" s="11"/>
      <c r="N64" s="10">
        <f>SUM(B64:M64)/12</f>
        <v>4.1666666666666664E-2</v>
      </c>
      <c r="O64" s="340"/>
      <c r="P64" s="339"/>
      <c r="Q64" s="339"/>
      <c r="R64" s="339"/>
      <c r="S64" s="339"/>
      <c r="T64" s="27"/>
      <c r="U64" s="339"/>
      <c r="V64" s="339"/>
    </row>
    <row r="65" spans="1:22" x14ac:dyDescent="0.25">
      <c r="A65" s="305"/>
      <c r="B65" s="11"/>
      <c r="C65" s="11"/>
      <c r="D65" s="11"/>
      <c r="E65" s="11"/>
      <c r="F65" s="11"/>
      <c r="G65" s="11"/>
      <c r="H65" s="9"/>
      <c r="I65" s="11"/>
      <c r="J65" s="11"/>
      <c r="K65" s="11"/>
      <c r="L65" s="11"/>
      <c r="M65" s="11"/>
      <c r="N65" s="12"/>
      <c r="O65" s="340"/>
      <c r="P65" s="339"/>
      <c r="Q65" s="339"/>
      <c r="R65" s="339"/>
      <c r="S65" s="339"/>
      <c r="T65" s="27"/>
      <c r="U65" s="339"/>
      <c r="V65" s="339"/>
    </row>
    <row r="66" spans="1:22" x14ac:dyDescent="0.25">
      <c r="A66" s="303" t="s">
        <v>34</v>
      </c>
      <c r="B66" s="4">
        <f>B62+(B64*1.5)+(B63*0.8)</f>
        <v>70</v>
      </c>
      <c r="C66" s="4">
        <f>C62+(C64*1.5)+(C63*0.8)</f>
        <v>70.5</v>
      </c>
      <c r="D66" s="4">
        <f>D62+(D64*1.5)+(D63*0.8)</f>
        <v>74</v>
      </c>
      <c r="E66" s="4">
        <f>E62+(E64*1.5)+(E63*0.8)</f>
        <v>76.5</v>
      </c>
      <c r="F66" s="4">
        <f>F62+(F64*1.5)+(F63*0.8)</f>
        <v>77</v>
      </c>
      <c r="G66" s="4">
        <f t="shared" ref="G66:M66" si="4">G62+(G64*1.5)+(G63*0.8)</f>
        <v>78</v>
      </c>
      <c r="H66" s="4">
        <f t="shared" si="4"/>
        <v>82</v>
      </c>
      <c r="I66" s="4">
        <f t="shared" si="4"/>
        <v>87</v>
      </c>
      <c r="J66" s="4">
        <f t="shared" si="4"/>
        <v>87</v>
      </c>
      <c r="K66" s="4">
        <f t="shared" si="4"/>
        <v>89</v>
      </c>
      <c r="L66" s="4">
        <f t="shared" si="4"/>
        <v>89</v>
      </c>
      <c r="M66" s="4">
        <f t="shared" si="4"/>
        <v>91</v>
      </c>
      <c r="N66" s="10">
        <f>SUM(B66:M66)/12</f>
        <v>80.916666666666671</v>
      </c>
      <c r="O66" s="340"/>
      <c r="P66" s="344"/>
      <c r="Q66" s="339"/>
      <c r="R66" s="339"/>
      <c r="S66" s="339"/>
      <c r="T66" s="27"/>
      <c r="U66" s="339"/>
      <c r="V66" s="340"/>
    </row>
    <row r="67" spans="1:22" x14ac:dyDescent="0.25">
      <c r="A67" s="303"/>
      <c r="B67" s="362">
        <v>4</v>
      </c>
      <c r="C67" s="363">
        <v>2</v>
      </c>
      <c r="D67" s="363">
        <v>5</v>
      </c>
      <c r="E67" s="363">
        <v>2</v>
      </c>
      <c r="F67" s="364">
        <v>0</v>
      </c>
      <c r="G67" s="364">
        <v>1</v>
      </c>
      <c r="H67" s="364">
        <v>4</v>
      </c>
      <c r="I67" s="364">
        <v>5</v>
      </c>
      <c r="J67" s="364">
        <v>0</v>
      </c>
      <c r="K67" s="364">
        <v>2</v>
      </c>
      <c r="L67" s="364">
        <v>0</v>
      </c>
      <c r="M67" s="364">
        <v>2</v>
      </c>
      <c r="N67" s="63">
        <f>SUM(B67:M67)</f>
        <v>27</v>
      </c>
      <c r="O67" s="340"/>
      <c r="P67" s="340"/>
      <c r="Q67" s="340"/>
      <c r="R67" s="340"/>
      <c r="S67" s="340"/>
      <c r="T67" s="27"/>
      <c r="U67" s="339"/>
      <c r="V67" s="340"/>
    </row>
    <row r="68" spans="1:22" x14ac:dyDescent="0.25">
      <c r="A68" s="303"/>
      <c r="B68" s="362"/>
      <c r="C68" s="365" t="s">
        <v>44</v>
      </c>
      <c r="D68" s="366" t="s">
        <v>37</v>
      </c>
      <c r="E68" s="363"/>
      <c r="F68" s="364"/>
      <c r="G68" s="364"/>
      <c r="H68" s="363" t="s">
        <v>46</v>
      </c>
      <c r="I68" s="364"/>
      <c r="J68" s="364"/>
      <c r="K68" s="363" t="s">
        <v>47</v>
      </c>
      <c r="L68" s="364"/>
      <c r="M68" s="363" t="s">
        <v>46</v>
      </c>
      <c r="N68" s="10"/>
      <c r="O68" s="340"/>
      <c r="P68" s="340"/>
      <c r="Q68" s="340"/>
      <c r="R68" s="340"/>
      <c r="S68" s="340"/>
      <c r="T68" s="27"/>
      <c r="U68" s="27"/>
    </row>
    <row r="69" spans="1:22" x14ac:dyDescent="0.25">
      <c r="A69" s="35"/>
      <c r="B69" s="345"/>
      <c r="C69" s="346" t="s">
        <v>45</v>
      </c>
      <c r="D69" s="55"/>
      <c r="E69" s="53"/>
      <c r="F69" s="340"/>
      <c r="G69" s="361">
        <v>0</v>
      </c>
      <c r="H69" s="57" t="s">
        <v>41</v>
      </c>
      <c r="I69" s="57">
        <v>0</v>
      </c>
      <c r="J69" s="57">
        <v>0</v>
      </c>
      <c r="K69" s="57">
        <v>1</v>
      </c>
      <c r="L69" s="57">
        <v>3</v>
      </c>
      <c r="M69" s="57">
        <v>0</v>
      </c>
      <c r="N69" s="367">
        <f>SUM(G69:M69)</f>
        <v>4</v>
      </c>
      <c r="O69" s="340"/>
      <c r="P69" s="339"/>
      <c r="Q69" s="339"/>
      <c r="R69" s="339"/>
      <c r="S69" s="339"/>
      <c r="T69" s="27"/>
      <c r="U69" s="27"/>
    </row>
    <row r="70" spans="1:22" x14ac:dyDescent="0.25">
      <c r="A70" s="35"/>
      <c r="B70" s="345"/>
      <c r="C70" s="53" t="s">
        <v>36</v>
      </c>
      <c r="D70" s="45"/>
      <c r="E70" s="37"/>
      <c r="F70" s="37"/>
      <c r="G70" s="340"/>
      <c r="H70" s="49"/>
      <c r="I70" s="49"/>
      <c r="J70" s="49"/>
      <c r="K70" s="49"/>
      <c r="L70" s="49"/>
      <c r="M70" s="340" t="s">
        <v>39</v>
      </c>
      <c r="N70" s="340"/>
      <c r="O70" s="340"/>
      <c r="P70" s="340"/>
      <c r="Q70" s="339"/>
      <c r="R70" s="339"/>
      <c r="S70" s="339"/>
      <c r="T70" s="27"/>
      <c r="U70" s="27"/>
    </row>
    <row r="71" spans="1:22" x14ac:dyDescent="0.25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7" t="s">
        <v>40</v>
      </c>
      <c r="N71" s="347"/>
      <c r="O71" s="347"/>
      <c r="P71" s="347"/>
      <c r="Q71" s="340"/>
      <c r="R71" s="340"/>
      <c r="S71" s="340"/>
    </row>
  </sheetData>
  <pageMargins left="0" right="0" top="0.19685039370078741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workbookViewId="0">
      <selection activeCell="D8" sqref="D8:H8"/>
    </sheetView>
  </sheetViews>
  <sheetFormatPr defaultRowHeight="15" x14ac:dyDescent="0.25"/>
  <cols>
    <col min="13" max="13" width="10.140625" customWidth="1"/>
  </cols>
  <sheetData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84"/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5" x14ac:dyDescent="0.25">
      <c r="A5" s="86" t="s">
        <v>15</v>
      </c>
      <c r="B5" s="32">
        <v>45</v>
      </c>
      <c r="C5" s="58">
        <f>45+1-1</f>
        <v>45</v>
      </c>
      <c r="D5" s="58">
        <f>45+2-4</f>
        <v>43</v>
      </c>
      <c r="E5" s="58">
        <f>43</f>
        <v>43</v>
      </c>
      <c r="F5" s="58">
        <f>43-6</f>
        <v>37</v>
      </c>
      <c r="G5" s="386">
        <f>37-2</f>
        <v>35</v>
      </c>
      <c r="H5" s="58">
        <f>35-2</f>
        <v>33</v>
      </c>
      <c r="I5" s="58">
        <f>33+1+0.5</f>
        <v>34.5</v>
      </c>
      <c r="J5" s="58">
        <f>35-1</f>
        <v>34</v>
      </c>
      <c r="K5" s="58">
        <f>34+1+0.5</f>
        <v>35.5</v>
      </c>
      <c r="L5" s="41">
        <f>36+1</f>
        <v>37</v>
      </c>
      <c r="M5" s="4">
        <v>37</v>
      </c>
      <c r="N5" s="8">
        <f>SUM(B5:M5)/12</f>
        <v>38.25</v>
      </c>
      <c r="O5" s="66"/>
    </row>
    <row r="6" spans="1:15" x14ac:dyDescent="0.25">
      <c r="A6" s="86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3"/>
      <c r="M6" s="9"/>
      <c r="N6" s="10">
        <f>SUM(B6:M6)/12</f>
        <v>0</v>
      </c>
      <c r="O6" s="66"/>
    </row>
    <row r="7" spans="1:15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  <c r="O7" s="66"/>
    </row>
    <row r="8" spans="1:15" x14ac:dyDescent="0.25">
      <c r="A8" s="86"/>
      <c r="B8" s="11"/>
      <c r="C8" s="11"/>
      <c r="D8" s="44"/>
      <c r="E8" s="44"/>
      <c r="F8" s="44"/>
      <c r="G8" s="44"/>
      <c r="H8" s="43"/>
      <c r="I8" s="44"/>
      <c r="J8" s="11"/>
      <c r="K8" s="11"/>
      <c r="L8" s="11"/>
      <c r="M8" s="11"/>
      <c r="N8" s="12"/>
      <c r="O8" s="67"/>
    </row>
    <row r="9" spans="1:15" x14ac:dyDescent="0.25">
      <c r="A9" s="84" t="s">
        <v>18</v>
      </c>
      <c r="B9" s="4">
        <f>B5+(B7*1.5)+(B6*0.8)</f>
        <v>45</v>
      </c>
      <c r="C9" s="4">
        <f>C5+(C7*1.5)+(C6*0.8)</f>
        <v>45</v>
      </c>
      <c r="D9" s="4">
        <f>D5+(D7*1.5)+(D6*0.8)</f>
        <v>43</v>
      </c>
      <c r="E9" s="4">
        <f>E5+(E7*1.5)+(E6*0.8)</f>
        <v>43</v>
      </c>
      <c r="F9" s="4">
        <f>F5+(F7*1.5)+(F6*0.8)</f>
        <v>37</v>
      </c>
      <c r="G9" s="4">
        <f t="shared" ref="G9:M9" si="0">G5+(G7*1.5)+(G6*0.8)</f>
        <v>35</v>
      </c>
      <c r="H9" s="4">
        <f t="shared" si="0"/>
        <v>33</v>
      </c>
      <c r="I9" s="4">
        <f t="shared" si="0"/>
        <v>34.5</v>
      </c>
      <c r="J9" s="4">
        <f t="shared" si="0"/>
        <v>34</v>
      </c>
      <c r="K9" s="4">
        <f t="shared" si="0"/>
        <v>35.5</v>
      </c>
      <c r="L9" s="4">
        <f t="shared" si="0"/>
        <v>37</v>
      </c>
      <c r="M9" s="4">
        <f t="shared" si="0"/>
        <v>37</v>
      </c>
      <c r="N9" s="10">
        <f>SUM(B9:M9)/12</f>
        <v>38.25</v>
      </c>
      <c r="O9" s="66"/>
    </row>
    <row r="10" spans="1:15" x14ac:dyDescent="0.25">
      <c r="A10" s="81" t="s">
        <v>19</v>
      </c>
      <c r="B10" s="77">
        <v>1</v>
      </c>
      <c r="C10" s="68">
        <v>1</v>
      </c>
      <c r="D10" s="68">
        <v>2</v>
      </c>
      <c r="E10" s="68">
        <v>0</v>
      </c>
      <c r="F10" s="68">
        <v>0</v>
      </c>
      <c r="G10" s="68">
        <v>0</v>
      </c>
      <c r="H10" s="68">
        <v>0</v>
      </c>
      <c r="I10" s="68">
        <v>2</v>
      </c>
      <c r="J10" s="68">
        <v>0</v>
      </c>
      <c r="K10" s="68">
        <v>2</v>
      </c>
      <c r="L10" s="68">
        <v>1</v>
      </c>
      <c r="M10" s="68">
        <v>0</v>
      </c>
      <c r="N10" s="82">
        <v>7</v>
      </c>
      <c r="O10" s="66"/>
    </row>
    <row r="11" spans="1:15" x14ac:dyDescent="0.25">
      <c r="B11" s="54"/>
      <c r="C11" s="54" t="s">
        <v>82</v>
      </c>
      <c r="D11" s="54" t="s">
        <v>83</v>
      </c>
      <c r="E11" s="54"/>
      <c r="F11" s="54" t="s">
        <v>167</v>
      </c>
      <c r="G11" s="54" t="s">
        <v>85</v>
      </c>
      <c r="H11" s="54" t="s">
        <v>86</v>
      </c>
      <c r="I11" s="54" t="s">
        <v>180</v>
      </c>
      <c r="J11" s="54"/>
      <c r="K11" s="54" t="s">
        <v>310</v>
      </c>
      <c r="L11" s="54"/>
      <c r="M11" s="54" t="s">
        <v>168</v>
      </c>
    </row>
    <row r="12" spans="1:15" x14ac:dyDescent="0.25">
      <c r="I12" s="54" t="s">
        <v>261</v>
      </c>
    </row>
    <row r="14" spans="1:15" x14ac:dyDescent="0.25">
      <c r="A14" s="204" t="s">
        <v>76</v>
      </c>
      <c r="B14" s="205"/>
      <c r="C14" s="205"/>
      <c r="D14" s="205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x14ac:dyDescent="0.25">
      <c r="A15" s="191" t="s">
        <v>80</v>
      </c>
      <c r="B15" s="192" t="s">
        <v>2</v>
      </c>
      <c r="C15" s="192" t="s">
        <v>3</v>
      </c>
      <c r="D15" s="192" t="s">
        <v>4</v>
      </c>
      <c r="E15" s="192" t="s">
        <v>5</v>
      </c>
      <c r="F15" s="192" t="s">
        <v>6</v>
      </c>
      <c r="G15" s="192" t="s">
        <v>7</v>
      </c>
      <c r="H15" s="192" t="s">
        <v>8</v>
      </c>
      <c r="I15" s="192" t="s">
        <v>9</v>
      </c>
      <c r="J15" s="192" t="s">
        <v>10</v>
      </c>
      <c r="K15" s="192" t="s">
        <v>11</v>
      </c>
      <c r="L15" s="192" t="s">
        <v>12</v>
      </c>
      <c r="M15" s="192" t="s">
        <v>13</v>
      </c>
      <c r="N15" s="193" t="s">
        <v>14</v>
      </c>
      <c r="O15" s="187"/>
    </row>
    <row r="16" spans="1:15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87"/>
    </row>
    <row r="17" spans="1:15" x14ac:dyDescent="0.25">
      <c r="A17" s="193" t="s">
        <v>15</v>
      </c>
      <c r="B17" s="201">
        <v>45</v>
      </c>
      <c r="C17" s="201">
        <v>45</v>
      </c>
      <c r="D17" s="201">
        <v>43</v>
      </c>
      <c r="E17" s="201">
        <v>43</v>
      </c>
      <c r="F17" s="201">
        <v>38</v>
      </c>
      <c r="G17" s="203">
        <v>36</v>
      </c>
      <c r="H17" s="200">
        <v>35</v>
      </c>
      <c r="I17" s="199">
        <v>36</v>
      </c>
      <c r="J17" s="199">
        <v>35</v>
      </c>
      <c r="K17" s="199">
        <v>35</v>
      </c>
      <c r="L17" s="199">
        <v>36</v>
      </c>
      <c r="M17" s="199">
        <v>36</v>
      </c>
      <c r="N17" s="195">
        <v>38.583333333333336</v>
      </c>
      <c r="O17" s="187"/>
    </row>
    <row r="18" spans="1:15" x14ac:dyDescent="0.25">
      <c r="A18" s="193" t="s">
        <v>16</v>
      </c>
      <c r="B18" s="201"/>
      <c r="C18" s="202"/>
      <c r="D18" s="202"/>
      <c r="E18" s="202"/>
      <c r="F18" s="202"/>
      <c r="G18" s="201"/>
      <c r="H18" s="194"/>
      <c r="I18" s="194"/>
      <c r="J18" s="194"/>
      <c r="K18" s="194"/>
      <c r="L18" s="194"/>
      <c r="M18" s="194"/>
      <c r="N18" s="197">
        <v>0</v>
      </c>
      <c r="O18" s="187"/>
    </row>
    <row r="19" spans="1:15" x14ac:dyDescent="0.25">
      <c r="A19" s="193" t="s">
        <v>17</v>
      </c>
      <c r="B19" s="196"/>
      <c r="C19" s="196"/>
      <c r="D19" s="196"/>
      <c r="E19" s="196"/>
      <c r="F19" s="196"/>
      <c r="G19" s="194"/>
      <c r="H19" s="194"/>
      <c r="I19" s="194"/>
      <c r="J19" s="194"/>
      <c r="K19" s="194"/>
      <c r="L19" s="194"/>
      <c r="M19" s="194"/>
      <c r="N19" s="197">
        <v>0</v>
      </c>
    </row>
    <row r="20" spans="1:15" x14ac:dyDescent="0.25">
      <c r="A20" s="193"/>
      <c r="B20" s="194"/>
      <c r="C20" s="194"/>
      <c r="D20" s="194"/>
      <c r="E20" s="194"/>
      <c r="F20" s="194"/>
      <c r="G20" s="194"/>
      <c r="H20" s="196"/>
      <c r="I20" s="194"/>
      <c r="J20" s="194"/>
      <c r="K20" s="194"/>
      <c r="L20" s="194"/>
      <c r="M20" s="194"/>
      <c r="N20" s="198"/>
    </row>
    <row r="21" spans="1:15" x14ac:dyDescent="0.25">
      <c r="A21" s="191" t="s">
        <v>18</v>
      </c>
      <c r="B21" s="196">
        <v>45</v>
      </c>
      <c r="C21" s="196">
        <v>45</v>
      </c>
      <c r="D21" s="196">
        <v>43</v>
      </c>
      <c r="E21" s="196">
        <v>43</v>
      </c>
      <c r="F21" s="196">
        <v>38</v>
      </c>
      <c r="G21" s="196">
        <v>36</v>
      </c>
      <c r="H21" s="196">
        <v>35</v>
      </c>
      <c r="I21" s="196">
        <v>36</v>
      </c>
      <c r="J21" s="196">
        <v>35</v>
      </c>
      <c r="K21" s="196">
        <v>35</v>
      </c>
      <c r="L21" s="196">
        <v>36</v>
      </c>
      <c r="M21" s="196">
        <v>36</v>
      </c>
      <c r="N21" s="197">
        <v>38.583333333333336</v>
      </c>
    </row>
    <row r="22" spans="1:15" x14ac:dyDescent="0.25">
      <c r="A22" s="188"/>
      <c r="B22" s="190">
        <v>0</v>
      </c>
      <c r="C22" s="190">
        <v>1</v>
      </c>
      <c r="D22" s="190">
        <v>2</v>
      </c>
      <c r="E22" s="190">
        <v>0</v>
      </c>
      <c r="F22" s="190">
        <v>0</v>
      </c>
      <c r="G22" s="190">
        <v>0</v>
      </c>
      <c r="H22" s="190">
        <v>1</v>
      </c>
      <c r="I22" s="190">
        <v>1</v>
      </c>
      <c r="J22" s="190">
        <v>0</v>
      </c>
      <c r="K22" s="190">
        <v>0</v>
      </c>
      <c r="L22" s="190">
        <v>1</v>
      </c>
      <c r="M22" s="190">
        <v>0</v>
      </c>
      <c r="N22" s="197">
        <v>6</v>
      </c>
    </row>
    <row r="23" spans="1:15" x14ac:dyDescent="0.25">
      <c r="A23" s="187"/>
      <c r="B23" s="189" t="s">
        <v>81</v>
      </c>
      <c r="C23" s="189" t="s">
        <v>82</v>
      </c>
      <c r="D23" s="189" t="s">
        <v>83</v>
      </c>
      <c r="E23" s="189"/>
      <c r="F23" s="189" t="s">
        <v>84</v>
      </c>
      <c r="G23" s="189" t="s">
        <v>85</v>
      </c>
      <c r="H23" s="189" t="s">
        <v>86</v>
      </c>
      <c r="I23" s="189"/>
      <c r="J23" s="189" t="s">
        <v>65</v>
      </c>
      <c r="K23" s="189"/>
      <c r="L23" s="189"/>
      <c r="M23" s="189" t="s">
        <v>87</v>
      </c>
      <c r="N23" s="187"/>
    </row>
    <row r="26" spans="1:15" x14ac:dyDescent="0.25">
      <c r="A26" s="400" t="s">
        <v>292</v>
      </c>
      <c r="B26" s="400"/>
      <c r="C26" s="400"/>
      <c r="D26" s="400"/>
    </row>
    <row r="27" spans="1:15" s="2" customFormat="1" x14ac:dyDescent="0.25">
      <c r="A27" s="3"/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4" t="s">
        <v>12</v>
      </c>
      <c r="M27" s="4" t="s">
        <v>13</v>
      </c>
      <c r="N27" s="5" t="s">
        <v>14</v>
      </c>
    </row>
    <row r="28" spans="1:15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s="2" customFormat="1" x14ac:dyDescent="0.25">
      <c r="A29" s="5" t="s">
        <v>15</v>
      </c>
      <c r="B29" s="6">
        <f>37+2-2</f>
        <v>37</v>
      </c>
      <c r="C29" s="4">
        <f>37+2-1</f>
        <v>38</v>
      </c>
      <c r="D29" s="4">
        <f>38+1-1</f>
        <v>38</v>
      </c>
      <c r="E29" s="4">
        <f>38+2-1</f>
        <v>39</v>
      </c>
      <c r="F29" s="4">
        <f>39+1-1</f>
        <v>39</v>
      </c>
      <c r="G29" s="7">
        <f>39+2</f>
        <v>41</v>
      </c>
      <c r="H29" s="4">
        <f>41+2-1</f>
        <v>42</v>
      </c>
      <c r="I29" s="4">
        <f>42+1-4</f>
        <v>39</v>
      </c>
      <c r="J29" s="4">
        <f>39-1</f>
        <v>38</v>
      </c>
      <c r="K29" s="4">
        <f>38-1</f>
        <v>37</v>
      </c>
      <c r="L29" s="4">
        <f>37+2</f>
        <v>39</v>
      </c>
      <c r="M29" s="4">
        <v>39</v>
      </c>
      <c r="N29" s="8">
        <f>SUM(B29:M29)/12</f>
        <v>38.833333333333336</v>
      </c>
    </row>
    <row r="30" spans="1:15" s="2" customFormat="1" x14ac:dyDescent="0.25">
      <c r="A30" s="5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>SUM(B30:M30)/12</f>
        <v>0</v>
      </c>
    </row>
    <row r="31" spans="1:15" s="2" customFormat="1" x14ac:dyDescent="0.25">
      <c r="A31" s="5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>SUM(B31:M31)/12</f>
        <v>0</v>
      </c>
    </row>
    <row r="32" spans="1:15" s="2" customFormat="1" x14ac:dyDescent="0.25">
      <c r="A32" s="5"/>
      <c r="B32" s="11"/>
      <c r="C32" s="11"/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2"/>
      <c r="O32" s="13"/>
    </row>
    <row r="33" spans="1:15" s="2" customFormat="1" x14ac:dyDescent="0.25">
      <c r="A33" s="3" t="s">
        <v>62</v>
      </c>
      <c r="B33" s="4">
        <f>B29+(B31*1.5)+(B30*0.8)</f>
        <v>37</v>
      </c>
      <c r="C33" s="4">
        <f>C29+(C31*1.5)+(C30*0.8)</f>
        <v>38</v>
      </c>
      <c r="D33" s="4">
        <f>D29+(D31*1.5)+(D30*0.8)</f>
        <v>38</v>
      </c>
      <c r="E33" s="4">
        <f>E29+(E31*1.5)+(E30*0.8)</f>
        <v>39</v>
      </c>
      <c r="F33" s="4">
        <f>F29+(F31*1.5)+(F30*0.8)</f>
        <v>39</v>
      </c>
      <c r="G33" s="4">
        <f t="shared" ref="G33:M33" si="1">G29+(G31*1.5)+(G30*0.8)</f>
        <v>41</v>
      </c>
      <c r="H33" s="4">
        <f t="shared" si="1"/>
        <v>42</v>
      </c>
      <c r="I33" s="4">
        <f t="shared" si="1"/>
        <v>39</v>
      </c>
      <c r="J33" s="4">
        <f t="shared" si="1"/>
        <v>38</v>
      </c>
      <c r="K33" s="4">
        <f t="shared" si="1"/>
        <v>37</v>
      </c>
      <c r="L33" s="4">
        <f t="shared" si="1"/>
        <v>39</v>
      </c>
      <c r="M33" s="4">
        <f t="shared" si="1"/>
        <v>39</v>
      </c>
      <c r="N33" s="10">
        <f>SUM(B33:M33)/12</f>
        <v>38.833333333333336</v>
      </c>
    </row>
    <row r="34" spans="1:15" s="2" customFormat="1" x14ac:dyDescent="0.25">
      <c r="A34" s="14" t="s">
        <v>19</v>
      </c>
      <c r="B34" s="15">
        <v>2</v>
      </c>
      <c r="C34" s="16">
        <v>2</v>
      </c>
      <c r="D34" s="16">
        <v>1</v>
      </c>
      <c r="E34" s="16">
        <v>2</v>
      </c>
      <c r="F34" s="16">
        <v>1</v>
      </c>
      <c r="G34" s="16">
        <v>2</v>
      </c>
      <c r="H34" s="16">
        <v>2</v>
      </c>
      <c r="I34" s="16">
        <v>1</v>
      </c>
      <c r="J34" s="16">
        <v>0</v>
      </c>
      <c r="K34" s="16">
        <v>0</v>
      </c>
      <c r="L34" s="16">
        <v>2</v>
      </c>
      <c r="M34" s="16">
        <v>0</v>
      </c>
      <c r="N34" s="17">
        <f>SUM(B34:M34)</f>
        <v>15</v>
      </c>
      <c r="O34" s="16"/>
    </row>
    <row r="35" spans="1:15" x14ac:dyDescent="0.25">
      <c r="B35" s="54" t="s">
        <v>169</v>
      </c>
      <c r="C35" s="54" t="s">
        <v>82</v>
      </c>
      <c r="D35" s="54" t="s">
        <v>170</v>
      </c>
      <c r="E35" s="54" t="s">
        <v>72</v>
      </c>
      <c r="F35" s="54" t="s">
        <v>130</v>
      </c>
      <c r="G35" s="54"/>
      <c r="H35" s="54" t="s">
        <v>171</v>
      </c>
      <c r="I35" s="54" t="s">
        <v>172</v>
      </c>
      <c r="J35" s="54" t="s">
        <v>65</v>
      </c>
      <c r="K35" s="54" t="s">
        <v>101</v>
      </c>
      <c r="L35" s="54"/>
      <c r="M35" s="54"/>
    </row>
    <row r="37" spans="1:15" x14ac:dyDescent="0.25">
      <c r="A37" s="358" t="s">
        <v>260</v>
      </c>
      <c r="B37" s="358"/>
      <c r="C37" s="358"/>
      <c r="D37" s="358"/>
    </row>
    <row r="38" spans="1:15" s="2" customFormat="1" x14ac:dyDescent="0.25">
      <c r="A38" s="3"/>
      <c r="B38" s="4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  <c r="J38" s="4" t="s">
        <v>10</v>
      </c>
      <c r="K38" s="4" t="s">
        <v>11</v>
      </c>
      <c r="L38" s="4" t="s">
        <v>12</v>
      </c>
      <c r="M38" s="4" t="s">
        <v>13</v>
      </c>
      <c r="N38" s="5" t="s">
        <v>14</v>
      </c>
    </row>
    <row r="39" spans="1:15" s="2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5" s="2" customFormat="1" x14ac:dyDescent="0.25">
      <c r="A40" s="5" t="s">
        <v>15</v>
      </c>
      <c r="B40" s="6">
        <f>36-2+2</f>
        <v>36</v>
      </c>
      <c r="C40" s="4">
        <f>36-1+2</f>
        <v>37</v>
      </c>
      <c r="D40" s="4">
        <f>37+1-1</f>
        <v>37</v>
      </c>
      <c r="E40" s="4">
        <f>37+2-1</f>
        <v>38</v>
      </c>
      <c r="F40" s="4">
        <f>38-1</f>
        <v>37</v>
      </c>
      <c r="G40" s="4">
        <f>F40+G45</f>
        <v>39</v>
      </c>
      <c r="H40" s="4">
        <f>39+2-1</f>
        <v>40</v>
      </c>
      <c r="I40" s="4">
        <f>40-4+1</f>
        <v>37</v>
      </c>
      <c r="J40" s="4">
        <f>37-1</f>
        <v>36</v>
      </c>
      <c r="K40" s="4">
        <f>36-1</f>
        <v>35</v>
      </c>
      <c r="L40" s="4">
        <f>35+2</f>
        <v>37</v>
      </c>
      <c r="M40" s="4">
        <v>37</v>
      </c>
      <c r="N40" s="8">
        <f>SUM(B40:M40)/12</f>
        <v>37.166666666666664</v>
      </c>
    </row>
    <row r="41" spans="1:15" s="2" customFormat="1" x14ac:dyDescent="0.25">
      <c r="A41" s="5" t="s">
        <v>16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>
        <f>SUM(B41:M41)/12</f>
        <v>0</v>
      </c>
    </row>
    <row r="42" spans="1:15" s="2" customFormat="1" x14ac:dyDescent="0.25">
      <c r="A42" s="5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>
        <f>SUM(B42:M42)/12</f>
        <v>0</v>
      </c>
    </row>
    <row r="43" spans="1:15" s="2" customFormat="1" x14ac:dyDescent="0.25">
      <c r="A43" s="5"/>
      <c r="B43" s="11"/>
      <c r="C43" s="11"/>
      <c r="D43" s="11"/>
      <c r="E43" s="11"/>
      <c r="F43" s="11"/>
      <c r="G43" s="11"/>
      <c r="H43" s="9"/>
      <c r="I43" s="11"/>
      <c r="J43" s="11"/>
      <c r="K43" s="11"/>
      <c r="L43" s="11"/>
      <c r="M43" s="11"/>
      <c r="N43" s="12"/>
      <c r="O43" s="13"/>
    </row>
    <row r="44" spans="1:15" s="2" customFormat="1" x14ac:dyDescent="0.25">
      <c r="A44" s="3" t="s">
        <v>62</v>
      </c>
      <c r="B44" s="4">
        <f>B40+(B42*1.5)+(B41*0.8)</f>
        <v>36</v>
      </c>
      <c r="C44" s="4">
        <f>C40+(C42*1.5)+(C41*0.8)</f>
        <v>37</v>
      </c>
      <c r="D44" s="4">
        <f>D40+(D42*1.5)+(D41*0.8)</f>
        <v>37</v>
      </c>
      <c r="E44" s="4">
        <f>E40+(E42*1.5)+(E41*0.8)</f>
        <v>38</v>
      </c>
      <c r="F44" s="4">
        <f>F40+(F42*1.5)+(F41*0.8)</f>
        <v>37</v>
      </c>
      <c r="G44" s="4">
        <f t="shared" ref="G44:M44" si="2">G40+(G42*1.5)+(G41*0.8)</f>
        <v>39</v>
      </c>
      <c r="H44" s="4">
        <f t="shared" si="2"/>
        <v>40</v>
      </c>
      <c r="I44" s="4">
        <f t="shared" si="2"/>
        <v>37</v>
      </c>
      <c r="J44" s="4">
        <f t="shared" si="2"/>
        <v>36</v>
      </c>
      <c r="K44" s="4">
        <f t="shared" si="2"/>
        <v>35</v>
      </c>
      <c r="L44" s="4">
        <f t="shared" si="2"/>
        <v>37</v>
      </c>
      <c r="M44" s="4">
        <f t="shared" si="2"/>
        <v>37</v>
      </c>
      <c r="N44" s="10">
        <f>SUM(B44:M44)/12</f>
        <v>37.166666666666664</v>
      </c>
    </row>
    <row r="45" spans="1:15" s="2" customFormat="1" x14ac:dyDescent="0.25">
      <c r="A45" s="14" t="s">
        <v>19</v>
      </c>
      <c r="B45" s="15">
        <v>2</v>
      </c>
      <c r="C45" s="16">
        <v>2</v>
      </c>
      <c r="D45" s="16">
        <v>1</v>
      </c>
      <c r="E45" s="16">
        <v>2</v>
      </c>
      <c r="F45" s="16">
        <v>0</v>
      </c>
      <c r="G45" s="16">
        <v>2</v>
      </c>
      <c r="H45" s="16">
        <v>2</v>
      </c>
      <c r="I45" s="16">
        <v>1</v>
      </c>
      <c r="J45" s="16">
        <v>0</v>
      </c>
      <c r="K45" s="16">
        <v>0</v>
      </c>
      <c r="L45" s="16">
        <v>2</v>
      </c>
      <c r="M45" s="16">
        <v>0</v>
      </c>
      <c r="N45" s="17">
        <f>SUM(B45:M45)</f>
        <v>14</v>
      </c>
      <c r="O45" s="16"/>
    </row>
    <row r="46" spans="1:15" x14ac:dyDescent="0.25">
      <c r="B46" s="54" t="s">
        <v>169</v>
      </c>
      <c r="C46" s="54" t="s">
        <v>82</v>
      </c>
      <c r="D46" s="54" t="s">
        <v>170</v>
      </c>
      <c r="E46" s="54" t="s">
        <v>72</v>
      </c>
      <c r="F46" s="54" t="s">
        <v>130</v>
      </c>
      <c r="G46" s="54"/>
      <c r="H46" s="54" t="s">
        <v>171</v>
      </c>
      <c r="I46" s="54" t="s">
        <v>172</v>
      </c>
      <c r="J46" s="54" t="s">
        <v>65</v>
      </c>
      <c r="K46" s="54" t="s">
        <v>101</v>
      </c>
      <c r="L46" s="54"/>
      <c r="M46" s="54"/>
    </row>
    <row r="47" spans="1:15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5" x14ac:dyDescent="0.25">
      <c r="A48" s="395" t="s">
        <v>259</v>
      </c>
      <c r="B48" s="395"/>
      <c r="C48" s="395"/>
      <c r="D48" s="395"/>
    </row>
    <row r="49" spans="1:15" s="2" customFormat="1" x14ac:dyDescent="0.25">
      <c r="A49" s="3"/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4" t="s">
        <v>13</v>
      </c>
      <c r="N49" s="5" t="s">
        <v>14</v>
      </c>
    </row>
    <row r="50" spans="1:15" s="2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s="2" customFormat="1" x14ac:dyDescent="0.25">
      <c r="A51" s="5" t="s">
        <v>15</v>
      </c>
      <c r="B51" s="6">
        <f>37-1</f>
        <v>36</v>
      </c>
      <c r="C51" s="4">
        <f>36-2</f>
        <v>34</v>
      </c>
      <c r="D51" s="4">
        <f>34+1-1</f>
        <v>34</v>
      </c>
      <c r="E51" s="4">
        <f>34-1</f>
        <v>33</v>
      </c>
      <c r="F51" s="4">
        <f>33+1-1</f>
        <v>33</v>
      </c>
      <c r="G51" s="7">
        <f>33-3+1</f>
        <v>31</v>
      </c>
      <c r="H51" s="4">
        <f>31+1-2</f>
        <v>30</v>
      </c>
      <c r="I51" s="4">
        <f>30-1+1</f>
        <v>30</v>
      </c>
      <c r="J51" s="4">
        <v>30</v>
      </c>
      <c r="K51" s="4">
        <v>30</v>
      </c>
      <c r="L51" s="4">
        <f>30-3</f>
        <v>27</v>
      </c>
      <c r="M51" s="4">
        <f>30+2</f>
        <v>32</v>
      </c>
      <c r="N51" s="8">
        <f>SUM(B51:M51)/12</f>
        <v>31.666666666666668</v>
      </c>
    </row>
    <row r="52" spans="1:15" s="2" customFormat="1" x14ac:dyDescent="0.25">
      <c r="A52" s="5" t="s">
        <v>16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>
        <f>SUM(B52:M52)/12</f>
        <v>0</v>
      </c>
    </row>
    <row r="53" spans="1:15" s="2" customFormat="1" x14ac:dyDescent="0.25">
      <c r="A53" s="5" t="s">
        <v>17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0">
        <f>SUM(B53:M53)/12</f>
        <v>0</v>
      </c>
    </row>
    <row r="54" spans="1:15" s="2" customFormat="1" x14ac:dyDescent="0.25">
      <c r="A54" s="5"/>
      <c r="B54" s="11"/>
      <c r="C54" s="11"/>
      <c r="D54" s="11"/>
      <c r="E54" s="11"/>
      <c r="F54" s="11"/>
      <c r="G54" s="11"/>
      <c r="H54" s="9"/>
      <c r="I54" s="11"/>
      <c r="J54" s="11"/>
      <c r="K54" s="11"/>
      <c r="L54" s="11"/>
      <c r="M54" s="11"/>
      <c r="N54" s="12"/>
      <c r="O54" s="13"/>
    </row>
    <row r="55" spans="1:15" s="2" customFormat="1" x14ac:dyDescent="0.25">
      <c r="A55" s="3" t="s">
        <v>62</v>
      </c>
      <c r="B55" s="4">
        <f>B51+(B53*1.5)+(B52*0.8)</f>
        <v>36</v>
      </c>
      <c r="C55" s="4">
        <f>C51+(C53*1.5)+(C52*0.8)</f>
        <v>34</v>
      </c>
      <c r="D55" s="4">
        <f>D51+(D53*1.5)+(D52*0.8)</f>
        <v>34</v>
      </c>
      <c r="E55" s="4">
        <f>E51+(E53*1.5)+(E52*0.8)</f>
        <v>33</v>
      </c>
      <c r="F55" s="4">
        <f>F51+(F53*1.5)+(F52*0.8)</f>
        <v>33</v>
      </c>
      <c r="G55" s="4">
        <f t="shared" ref="G55:M55" si="3">G51+(G53*1.5)+(G52*0.8)</f>
        <v>31</v>
      </c>
      <c r="H55" s="4">
        <f t="shared" si="3"/>
        <v>30</v>
      </c>
      <c r="I55" s="4">
        <f t="shared" si="3"/>
        <v>30</v>
      </c>
      <c r="J55" s="4">
        <f t="shared" si="3"/>
        <v>30</v>
      </c>
      <c r="K55" s="4">
        <f t="shared" si="3"/>
        <v>30</v>
      </c>
      <c r="L55" s="4">
        <f t="shared" si="3"/>
        <v>27</v>
      </c>
      <c r="M55" s="4">
        <f t="shared" si="3"/>
        <v>32</v>
      </c>
      <c r="N55" s="10">
        <f>SUM(B55:M55)/12</f>
        <v>31.666666666666668</v>
      </c>
    </row>
    <row r="56" spans="1:15" s="2" customFormat="1" x14ac:dyDescent="0.25">
      <c r="A56" s="14" t="s">
        <v>19</v>
      </c>
      <c r="B56" s="15">
        <v>0</v>
      </c>
      <c r="C56" s="16">
        <v>0</v>
      </c>
      <c r="D56" s="16">
        <v>1</v>
      </c>
      <c r="E56" s="16">
        <v>0</v>
      </c>
      <c r="F56" s="16">
        <v>1</v>
      </c>
      <c r="G56" s="16">
        <v>1</v>
      </c>
      <c r="H56" s="16">
        <v>1</v>
      </c>
      <c r="I56" s="16">
        <v>1</v>
      </c>
      <c r="J56" s="16">
        <v>0</v>
      </c>
      <c r="K56" s="16">
        <v>0</v>
      </c>
      <c r="L56" s="16">
        <v>0</v>
      </c>
      <c r="M56" s="16">
        <v>2</v>
      </c>
      <c r="N56" s="17">
        <f>SUM(B56:M56)</f>
        <v>7</v>
      </c>
      <c r="O56" s="16"/>
    </row>
    <row r="57" spans="1:15" x14ac:dyDescent="0.25">
      <c r="B57" s="54" t="s">
        <v>31</v>
      </c>
      <c r="C57" s="54" t="s">
        <v>69</v>
      </c>
      <c r="D57" s="54" t="s">
        <v>170</v>
      </c>
      <c r="E57" s="54" t="s">
        <v>72</v>
      </c>
      <c r="F57" s="54" t="s">
        <v>130</v>
      </c>
      <c r="G57" s="54" t="s">
        <v>262</v>
      </c>
      <c r="H57" s="54" t="s">
        <v>86</v>
      </c>
      <c r="I57" s="54" t="s">
        <v>99</v>
      </c>
      <c r="J57" s="54"/>
      <c r="K57" s="54"/>
      <c r="L57" s="54" t="s">
        <v>102</v>
      </c>
      <c r="M57" s="54"/>
    </row>
    <row r="59" spans="1:15" x14ac:dyDescent="0.25">
      <c r="A59" s="392" t="s">
        <v>263</v>
      </c>
      <c r="B59" s="392"/>
      <c r="C59" s="392"/>
      <c r="D59" s="392"/>
    </row>
    <row r="60" spans="1:15" s="2" customFormat="1" x14ac:dyDescent="0.25">
      <c r="A60" s="3"/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  <c r="K60" s="4" t="s">
        <v>11</v>
      </c>
      <c r="L60" s="4" t="s">
        <v>12</v>
      </c>
      <c r="M60" s="4" t="s">
        <v>13</v>
      </c>
      <c r="N60" s="5" t="s">
        <v>14</v>
      </c>
    </row>
    <row r="61" spans="1:15" s="2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5" s="2" customFormat="1" x14ac:dyDescent="0.25">
      <c r="A62" s="5" t="s">
        <v>15</v>
      </c>
      <c r="B62" s="6">
        <f>32+3-1</f>
        <v>34</v>
      </c>
      <c r="C62" s="4">
        <v>36</v>
      </c>
      <c r="D62" s="4">
        <f>36+1-2</f>
        <v>35</v>
      </c>
      <c r="E62" s="4">
        <f>35+1-2</f>
        <v>34</v>
      </c>
      <c r="F62" s="4">
        <v>35</v>
      </c>
      <c r="G62" s="7">
        <v>36</v>
      </c>
      <c r="H62" s="4">
        <v>36</v>
      </c>
      <c r="I62" s="4">
        <v>37</v>
      </c>
      <c r="J62" s="4">
        <f>37-1</f>
        <v>36</v>
      </c>
      <c r="K62" s="4">
        <v>36</v>
      </c>
      <c r="L62" s="4">
        <f>36-1</f>
        <v>35</v>
      </c>
      <c r="M62" s="4">
        <v>35</v>
      </c>
      <c r="N62" s="8">
        <f>SUM(B62:M62)/12</f>
        <v>35.416666666666664</v>
      </c>
    </row>
    <row r="63" spans="1:15" s="2" customFormat="1" x14ac:dyDescent="0.25">
      <c r="A63" s="5" t="s">
        <v>16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0">
        <f>SUM(B63:M63)/12</f>
        <v>0</v>
      </c>
    </row>
    <row r="64" spans="1:15" s="2" customFormat="1" x14ac:dyDescent="0.25">
      <c r="A64" s="5" t="s">
        <v>17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0">
        <f>SUM(B64:M64)/12</f>
        <v>0</v>
      </c>
    </row>
    <row r="65" spans="1:15" s="2" customFormat="1" x14ac:dyDescent="0.25">
      <c r="A65" s="5"/>
      <c r="B65" s="11"/>
      <c r="C65" s="11"/>
      <c r="D65" s="11"/>
      <c r="E65" s="11"/>
      <c r="F65" s="11"/>
      <c r="G65" s="11"/>
      <c r="H65" s="9"/>
      <c r="I65" s="11"/>
      <c r="J65" s="11"/>
      <c r="K65" s="11"/>
      <c r="L65" s="11"/>
      <c r="M65" s="11"/>
      <c r="N65" s="12"/>
      <c r="O65" s="13"/>
    </row>
    <row r="66" spans="1:15" s="2" customFormat="1" x14ac:dyDescent="0.25">
      <c r="A66" s="3" t="s">
        <v>62</v>
      </c>
      <c r="B66" s="4">
        <f>B62+(B64*1.5)+(B63*0.8)</f>
        <v>34</v>
      </c>
      <c r="C66" s="4">
        <f>C62+(C64*1.5)+(C63*0.8)</f>
        <v>36</v>
      </c>
      <c r="D66" s="4">
        <f>D62+(D64*1.5)+(D63*0.8)</f>
        <v>35</v>
      </c>
      <c r="E66" s="4">
        <f>E62+(E64*1.5)+(E63*0.8)</f>
        <v>34</v>
      </c>
      <c r="F66" s="4">
        <f>F62+(F64*1.5)+(F63*0.8)</f>
        <v>35</v>
      </c>
      <c r="G66" s="4">
        <f t="shared" ref="G66:M66" si="4">G62+(G64*1.5)+(G63*0.8)</f>
        <v>36</v>
      </c>
      <c r="H66" s="4">
        <f t="shared" si="4"/>
        <v>36</v>
      </c>
      <c r="I66" s="4">
        <f t="shared" si="4"/>
        <v>37</v>
      </c>
      <c r="J66" s="4">
        <f t="shared" si="4"/>
        <v>36</v>
      </c>
      <c r="K66" s="4">
        <f t="shared" si="4"/>
        <v>36</v>
      </c>
      <c r="L66" s="4">
        <f t="shared" si="4"/>
        <v>35</v>
      </c>
      <c r="M66" s="4">
        <f t="shared" si="4"/>
        <v>35</v>
      </c>
      <c r="N66" s="10">
        <f>SUM(B66:M66)/12</f>
        <v>35.416666666666664</v>
      </c>
    </row>
    <row r="67" spans="1:15" s="2" customFormat="1" x14ac:dyDescent="0.25">
      <c r="A67" s="14" t="s">
        <v>19</v>
      </c>
      <c r="B67" s="15">
        <v>3</v>
      </c>
      <c r="C67" s="16">
        <v>2</v>
      </c>
      <c r="D67" s="16">
        <v>1</v>
      </c>
      <c r="E67" s="16">
        <v>1</v>
      </c>
      <c r="F67" s="16">
        <v>1</v>
      </c>
      <c r="G67" s="16">
        <v>1</v>
      </c>
      <c r="H67" s="16"/>
      <c r="I67" s="16">
        <v>1</v>
      </c>
      <c r="J67" s="394" t="s">
        <v>267</v>
      </c>
      <c r="K67" s="393"/>
      <c r="L67" s="393"/>
      <c r="M67" s="393"/>
      <c r="N67" s="17">
        <f>SUM(B67:M67)</f>
        <v>10</v>
      </c>
      <c r="O67" s="16"/>
    </row>
    <row r="68" spans="1:15" x14ac:dyDescent="0.25">
      <c r="B68" s="54" t="s">
        <v>31</v>
      </c>
      <c r="C68" s="54"/>
      <c r="D68" s="54" t="s">
        <v>264</v>
      </c>
      <c r="E68" s="54" t="s">
        <v>265</v>
      </c>
      <c r="F68" s="54"/>
      <c r="G68" s="54"/>
      <c r="H68" s="54"/>
      <c r="J68" s="54" t="s">
        <v>65</v>
      </c>
      <c r="K68" s="54"/>
      <c r="L68" s="54" t="s">
        <v>266</v>
      </c>
      <c r="M68" s="54"/>
    </row>
    <row r="70" spans="1:15" x14ac:dyDescent="0.25">
      <c r="A70" s="358" t="s">
        <v>160</v>
      </c>
      <c r="B70" s="358"/>
      <c r="C70" s="358"/>
      <c r="D70" s="358"/>
    </row>
    <row r="71" spans="1:15" s="2" customFormat="1" x14ac:dyDescent="0.25">
      <c r="A71" s="3"/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  <c r="L71" s="4" t="s">
        <v>12</v>
      </c>
      <c r="M71" s="4" t="s">
        <v>13</v>
      </c>
      <c r="N71" s="5" t="s">
        <v>14</v>
      </c>
    </row>
    <row r="72" spans="1:15" s="2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5" s="2" customFormat="1" x14ac:dyDescent="0.25">
      <c r="A73" s="5" t="s">
        <v>15</v>
      </c>
      <c r="B73" s="6">
        <f>37-2+2</f>
        <v>37</v>
      </c>
      <c r="C73" s="4">
        <f>37+2-1</f>
        <v>38</v>
      </c>
      <c r="D73" s="4">
        <f>38+1-1</f>
        <v>38</v>
      </c>
      <c r="E73" s="4">
        <f>38+2-1</f>
        <v>39</v>
      </c>
      <c r="F73" s="4">
        <v>38</v>
      </c>
      <c r="G73" s="7">
        <v>40</v>
      </c>
      <c r="H73" s="4">
        <f>40+2-1</f>
        <v>41</v>
      </c>
      <c r="I73" s="4">
        <f>41+1-4</f>
        <v>38</v>
      </c>
      <c r="J73" s="4">
        <f>38-1</f>
        <v>37</v>
      </c>
      <c r="K73" s="4">
        <v>36</v>
      </c>
      <c r="L73" s="4">
        <v>38</v>
      </c>
      <c r="M73" s="4">
        <v>38</v>
      </c>
      <c r="N73" s="8">
        <f>SUM(B73:M73)/12</f>
        <v>38.166666666666664</v>
      </c>
    </row>
    <row r="74" spans="1:15" s="2" customFormat="1" x14ac:dyDescent="0.25">
      <c r="A74" s="5" t="s">
        <v>16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>
        <f>SUM(B74:M74)/12</f>
        <v>0</v>
      </c>
    </row>
    <row r="75" spans="1:15" s="2" customFormat="1" x14ac:dyDescent="0.25">
      <c r="A75" s="5" t="s">
        <v>17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0">
        <f>SUM(B75:M75)/12</f>
        <v>0</v>
      </c>
    </row>
    <row r="76" spans="1:15" s="2" customFormat="1" x14ac:dyDescent="0.25">
      <c r="A76" s="5"/>
      <c r="B76" s="11"/>
      <c r="C76" s="11"/>
      <c r="D76" s="11"/>
      <c r="E76" s="11"/>
      <c r="F76" s="11"/>
      <c r="G76" s="11"/>
      <c r="H76" s="9"/>
      <c r="I76" s="11"/>
      <c r="J76" s="11"/>
      <c r="K76" s="11"/>
      <c r="L76" s="11"/>
      <c r="M76" s="11"/>
      <c r="N76" s="12"/>
      <c r="O76" s="13"/>
    </row>
    <row r="77" spans="1:15" s="2" customFormat="1" x14ac:dyDescent="0.25">
      <c r="A77" s="3" t="s">
        <v>62</v>
      </c>
      <c r="B77" s="4">
        <f>B73+(B75*1.5)+(B74*0.8)</f>
        <v>37</v>
      </c>
      <c r="C77" s="4">
        <f>C73+(C75*1.5)+(C74*0.8)</f>
        <v>38</v>
      </c>
      <c r="D77" s="4">
        <f>D73+(D75*1.5)+(D74*0.8)</f>
        <v>38</v>
      </c>
      <c r="E77" s="4">
        <f>E73+(E75*1.5)+(E74*0.8)</f>
        <v>39</v>
      </c>
      <c r="F77" s="4">
        <f>F73+(F75*1.5)+(F74*0.8)</f>
        <v>38</v>
      </c>
      <c r="G77" s="4">
        <f t="shared" ref="G77:M77" si="5">G73+(G75*1.5)+(G74*0.8)</f>
        <v>40</v>
      </c>
      <c r="H77" s="4">
        <f t="shared" si="5"/>
        <v>41</v>
      </c>
      <c r="I77" s="4">
        <f t="shared" si="5"/>
        <v>38</v>
      </c>
      <c r="J77" s="4">
        <f t="shared" si="5"/>
        <v>37</v>
      </c>
      <c r="K77" s="4">
        <f t="shared" si="5"/>
        <v>36</v>
      </c>
      <c r="L77" s="4">
        <f t="shared" si="5"/>
        <v>38</v>
      </c>
      <c r="M77" s="4">
        <f t="shared" si="5"/>
        <v>38</v>
      </c>
      <c r="N77" s="10">
        <f>SUM(B77:M77)/12</f>
        <v>38.166666666666664</v>
      </c>
    </row>
    <row r="78" spans="1:15" s="2" customFormat="1" x14ac:dyDescent="0.25">
      <c r="A78" s="14" t="s">
        <v>19</v>
      </c>
      <c r="B78" s="15">
        <v>2</v>
      </c>
      <c r="C78" s="16">
        <v>2</v>
      </c>
      <c r="D78" s="16">
        <v>1</v>
      </c>
      <c r="E78" s="16">
        <v>2</v>
      </c>
      <c r="F78" s="16">
        <v>0</v>
      </c>
      <c r="G78" s="16">
        <v>2</v>
      </c>
      <c r="H78" s="16">
        <v>2</v>
      </c>
      <c r="I78" s="16">
        <v>1</v>
      </c>
      <c r="J78" s="16">
        <v>0</v>
      </c>
      <c r="K78" s="16">
        <v>0</v>
      </c>
      <c r="L78" s="16">
        <v>2</v>
      </c>
      <c r="M78" s="16">
        <v>0</v>
      </c>
      <c r="N78" s="17">
        <f>SUM(B78:M78)</f>
        <v>14</v>
      </c>
      <c r="O78" s="16"/>
    </row>
    <row r="79" spans="1:15" x14ac:dyDescent="0.25">
      <c r="B79" s="54" t="s">
        <v>169</v>
      </c>
      <c r="C79" s="54" t="s">
        <v>82</v>
      </c>
      <c r="D79" s="54" t="s">
        <v>170</v>
      </c>
      <c r="E79" s="54" t="s">
        <v>72</v>
      </c>
      <c r="F79" s="54" t="s">
        <v>130</v>
      </c>
      <c r="G79" s="54"/>
      <c r="H79" s="54" t="s">
        <v>171</v>
      </c>
      <c r="I79" s="54" t="s">
        <v>172</v>
      </c>
      <c r="J79" s="54" t="s">
        <v>65</v>
      </c>
      <c r="K79" s="54" t="s">
        <v>101</v>
      </c>
      <c r="L79" s="54"/>
      <c r="M79" s="54"/>
    </row>
  </sheetData>
  <pageMargins left="0" right="0" top="0.19685039370078741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opLeftCell="A9" workbookViewId="0">
      <selection activeCell="R50" sqref="R50"/>
    </sheetView>
  </sheetViews>
  <sheetFormatPr defaultRowHeight="15" x14ac:dyDescent="0.25"/>
  <cols>
    <col min="14" max="14" width="13.140625" customWidth="1"/>
  </cols>
  <sheetData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84"/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5" x14ac:dyDescent="0.25">
      <c r="A5" s="86" t="s">
        <v>15</v>
      </c>
      <c r="B5" s="32">
        <f>56+2+0.5+0.5</f>
        <v>59</v>
      </c>
      <c r="C5" s="58">
        <f>60+1+2</f>
        <v>63</v>
      </c>
      <c r="D5" s="58">
        <f>63+2+2-1</f>
        <v>66</v>
      </c>
      <c r="E5" s="58">
        <f>66+1</f>
        <v>67</v>
      </c>
      <c r="F5" s="58">
        <f>68+0.5</f>
        <v>68.5</v>
      </c>
      <c r="G5" s="386">
        <v>69</v>
      </c>
      <c r="H5" s="58">
        <v>71</v>
      </c>
      <c r="I5" s="58">
        <f>71+5-1</f>
        <v>75</v>
      </c>
      <c r="J5" s="58">
        <f>75+2+0.25</f>
        <v>77.25</v>
      </c>
      <c r="K5" s="58">
        <f>78+1-2-0.5</f>
        <v>76.5</v>
      </c>
      <c r="L5" s="41">
        <f>76+4</f>
        <v>80</v>
      </c>
      <c r="M5" s="4">
        <v>80</v>
      </c>
      <c r="N5" s="8">
        <f>SUM(B5:M5)/12</f>
        <v>71.020833333333329</v>
      </c>
      <c r="O5" s="66"/>
    </row>
    <row r="6" spans="1:15" x14ac:dyDescent="0.25">
      <c r="A6" s="86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3"/>
      <c r="M6" s="9"/>
      <c r="N6" s="10">
        <f>SUM(B6:M6)/12</f>
        <v>0</v>
      </c>
      <c r="O6" s="66"/>
    </row>
    <row r="7" spans="1:15" x14ac:dyDescent="0.25">
      <c r="A7" s="86" t="s">
        <v>17</v>
      </c>
      <c r="B7" s="34">
        <f>1+1+0.5</f>
        <v>2.5</v>
      </c>
      <c r="C7" s="34">
        <f>2+1</f>
        <v>3</v>
      </c>
      <c r="D7" s="34">
        <v>1</v>
      </c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0.54166666666666663</v>
      </c>
      <c r="O7" s="66"/>
    </row>
    <row r="8" spans="1:15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15" x14ac:dyDescent="0.25">
      <c r="A9" s="84" t="s">
        <v>18</v>
      </c>
      <c r="B9" s="4">
        <f>B5+(B7*1.5)+(B6*0.8)</f>
        <v>62.75</v>
      </c>
      <c r="C9" s="4">
        <f>C5+(C7*1.5)+(C6*0.8)</f>
        <v>67.5</v>
      </c>
      <c r="D9" s="4">
        <f>D5+(D7*1.5)+(D6*0.8)</f>
        <v>67.5</v>
      </c>
      <c r="E9" s="4">
        <f>E5+(E7*1.5)+(E6*0.8)</f>
        <v>67</v>
      </c>
      <c r="F9" s="4">
        <f>F5+(F7*1.5)+(F6*0.8)</f>
        <v>68.5</v>
      </c>
      <c r="G9" s="4">
        <f t="shared" ref="G9:M9" si="0">G5+(G7*1.5)+(G6*0.8)</f>
        <v>69</v>
      </c>
      <c r="H9" s="4">
        <f t="shared" si="0"/>
        <v>71</v>
      </c>
      <c r="I9" s="4">
        <f t="shared" si="0"/>
        <v>75</v>
      </c>
      <c r="J9" s="4">
        <f t="shared" si="0"/>
        <v>77.25</v>
      </c>
      <c r="K9" s="4">
        <f t="shared" si="0"/>
        <v>76.5</v>
      </c>
      <c r="L9" s="4">
        <f t="shared" si="0"/>
        <v>80</v>
      </c>
      <c r="M9" s="4">
        <f t="shared" si="0"/>
        <v>80</v>
      </c>
      <c r="N9" s="10">
        <f>SUM(B9:M9)/12</f>
        <v>71.833333333333329</v>
      </c>
      <c r="O9" s="66"/>
    </row>
    <row r="10" spans="1:15" x14ac:dyDescent="0.25">
      <c r="A10" s="374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10"/>
      <c r="O10" s="93"/>
    </row>
    <row r="11" spans="1:15" x14ac:dyDescent="0.25">
      <c r="A11" s="292" t="s">
        <v>93</v>
      </c>
      <c r="B11" s="401">
        <v>11.5</v>
      </c>
      <c r="C11" s="401">
        <v>12</v>
      </c>
      <c r="D11" s="401">
        <v>12</v>
      </c>
      <c r="E11" s="401">
        <v>12</v>
      </c>
      <c r="F11" s="401">
        <v>12</v>
      </c>
      <c r="G11" s="402">
        <v>12</v>
      </c>
      <c r="H11" s="402">
        <v>12</v>
      </c>
      <c r="I11" s="402">
        <f>12-2</f>
        <v>10</v>
      </c>
      <c r="J11" s="402">
        <f>10-1+1</f>
        <v>10</v>
      </c>
      <c r="K11" s="402">
        <f>10-1</f>
        <v>9</v>
      </c>
      <c r="L11" s="293">
        <f>9-3+0.5</f>
        <v>6.5</v>
      </c>
      <c r="M11" s="293">
        <v>7</v>
      </c>
      <c r="N11" s="294">
        <f>SUM(B11,C11,D11,E11,F11,G11,H11,I11,J11,K11,L11,M11)/12</f>
        <v>10.5</v>
      </c>
      <c r="O11" s="298"/>
    </row>
    <row r="12" spans="1:15" x14ac:dyDescent="0.25">
      <c r="A12" s="245" t="s">
        <v>94</v>
      </c>
      <c r="B12" s="402"/>
      <c r="C12" s="402"/>
      <c r="D12" s="402"/>
      <c r="E12" s="402"/>
      <c r="F12" s="402"/>
      <c r="G12" s="402"/>
      <c r="H12" s="401"/>
      <c r="I12" s="402"/>
      <c r="J12" s="402"/>
      <c r="K12" s="402"/>
      <c r="L12" s="293"/>
      <c r="M12" s="293"/>
      <c r="N12" s="247"/>
      <c r="O12" s="298"/>
    </row>
    <row r="13" spans="1:15" s="27" customFormat="1" ht="15.75" customHeight="1" x14ac:dyDescent="0.25">
      <c r="A13" s="379"/>
      <c r="B13" s="380"/>
      <c r="C13" s="380"/>
      <c r="D13" s="380"/>
      <c r="E13" s="380"/>
      <c r="F13" s="380"/>
      <c r="G13" s="380"/>
      <c r="H13" s="270"/>
      <c r="I13" s="380"/>
      <c r="J13" s="380"/>
      <c r="K13" s="380"/>
      <c r="L13" s="380"/>
      <c r="M13" s="380"/>
      <c r="N13" s="382"/>
      <c r="O13" s="381"/>
    </row>
    <row r="14" spans="1:15" x14ac:dyDescent="0.25">
      <c r="A14" s="385" t="s">
        <v>189</v>
      </c>
      <c r="B14" s="383">
        <v>7</v>
      </c>
      <c r="C14" s="384">
        <v>3</v>
      </c>
      <c r="D14" s="384">
        <v>2</v>
      </c>
      <c r="E14" s="384"/>
      <c r="F14" s="384">
        <v>2</v>
      </c>
      <c r="G14" s="384"/>
      <c r="H14" s="384">
        <v>2</v>
      </c>
      <c r="I14" s="384">
        <v>5</v>
      </c>
      <c r="J14" s="384">
        <v>3</v>
      </c>
      <c r="K14" s="384">
        <v>1</v>
      </c>
      <c r="L14" s="384">
        <v>4</v>
      </c>
      <c r="M14" s="384"/>
      <c r="N14" s="109">
        <v>7</v>
      </c>
      <c r="O14" s="66"/>
    </row>
    <row r="15" spans="1:15" x14ac:dyDescent="0.25">
      <c r="B15" s="47" t="s">
        <v>184</v>
      </c>
      <c r="C15" s="47"/>
      <c r="F15" t="s">
        <v>299</v>
      </c>
      <c r="H15" s="47"/>
      <c r="I15" s="47"/>
      <c r="J15" s="47" t="s">
        <v>300</v>
      </c>
      <c r="K15" s="47"/>
      <c r="L15" s="47"/>
      <c r="M15" s="47"/>
      <c r="N15" s="47"/>
    </row>
    <row r="16" spans="1:15" x14ac:dyDescent="0.25">
      <c r="B16" s="47" t="s">
        <v>185</v>
      </c>
      <c r="C16" s="47" t="s">
        <v>187</v>
      </c>
      <c r="H16" s="47" t="s">
        <v>99</v>
      </c>
      <c r="I16" s="47"/>
      <c r="J16" s="47" t="s">
        <v>301</v>
      </c>
      <c r="K16" s="47" t="s">
        <v>298</v>
      </c>
      <c r="L16" s="47"/>
      <c r="M16" s="47"/>
      <c r="N16" s="47"/>
    </row>
    <row r="17" spans="1:15" x14ac:dyDescent="0.25">
      <c r="B17" s="47" t="s">
        <v>183</v>
      </c>
      <c r="C17" s="47" t="s">
        <v>170</v>
      </c>
    </row>
    <row r="18" spans="1:15" x14ac:dyDescent="0.25">
      <c r="B18" s="47" t="s">
        <v>186</v>
      </c>
      <c r="C18" s="47"/>
    </row>
    <row r="19" spans="1:15" x14ac:dyDescent="0.25">
      <c r="A19" s="295" t="s">
        <v>97</v>
      </c>
      <c r="B19" s="295" t="s">
        <v>98</v>
      </c>
      <c r="C19" s="295"/>
      <c r="D19" s="295"/>
      <c r="E19" s="295"/>
      <c r="F19" s="295"/>
      <c r="G19" s="295"/>
      <c r="H19" s="295"/>
      <c r="I19" s="295">
        <v>0</v>
      </c>
      <c r="J19" s="295"/>
      <c r="K19" s="295"/>
      <c r="L19" s="295" t="s">
        <v>190</v>
      </c>
      <c r="M19" s="295">
        <v>1</v>
      </c>
      <c r="N19" s="295"/>
      <c r="O19" s="298"/>
    </row>
    <row r="20" spans="1:15" x14ac:dyDescent="0.25">
      <c r="A20" s="387"/>
      <c r="B20" s="388"/>
      <c r="C20" s="387"/>
      <c r="D20" s="387"/>
      <c r="E20" s="387"/>
      <c r="F20" s="387"/>
      <c r="G20" s="387"/>
      <c r="H20" s="387"/>
      <c r="I20" s="295" t="s">
        <v>271</v>
      </c>
      <c r="J20" s="295" t="s">
        <v>65</v>
      </c>
      <c r="K20" s="295" t="s">
        <v>101</v>
      </c>
      <c r="L20" s="295" t="s">
        <v>102</v>
      </c>
      <c r="M20" s="387"/>
      <c r="N20" s="387"/>
    </row>
    <row r="21" spans="1:15" x14ac:dyDescent="0.25">
      <c r="B21" s="54"/>
    </row>
    <row r="22" spans="1:15" x14ac:dyDescent="0.25">
      <c r="A22" s="248" t="s">
        <v>76</v>
      </c>
      <c r="B22" s="249"/>
      <c r="C22" s="249"/>
      <c r="D22" s="249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</row>
    <row r="23" spans="1:15" x14ac:dyDescent="0.25">
      <c r="A23" s="228" t="s">
        <v>92</v>
      </c>
      <c r="B23" s="229" t="s">
        <v>2</v>
      </c>
      <c r="C23" s="229" t="s">
        <v>3</v>
      </c>
      <c r="D23" s="229" t="s">
        <v>4</v>
      </c>
      <c r="E23" s="229" t="s">
        <v>5</v>
      </c>
      <c r="F23" s="229" t="s">
        <v>6</v>
      </c>
      <c r="G23" s="229" t="s">
        <v>7</v>
      </c>
      <c r="H23" s="229" t="s">
        <v>8</v>
      </c>
      <c r="I23" s="229" t="s">
        <v>9</v>
      </c>
      <c r="J23" s="229" t="s">
        <v>10</v>
      </c>
      <c r="K23" s="229" t="s">
        <v>11</v>
      </c>
      <c r="L23" s="229" t="s">
        <v>12</v>
      </c>
      <c r="M23" s="229" t="s">
        <v>13</v>
      </c>
      <c r="N23" s="230" t="s">
        <v>14</v>
      </c>
      <c r="O23" s="224"/>
    </row>
    <row r="24" spans="1:15" x14ac:dyDescent="0.2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24"/>
    </row>
    <row r="25" spans="1:15" x14ac:dyDescent="0.25">
      <c r="A25" s="230" t="s">
        <v>15</v>
      </c>
      <c r="B25" s="238">
        <v>59</v>
      </c>
      <c r="C25" s="239">
        <v>61</v>
      </c>
      <c r="D25" s="239">
        <v>65</v>
      </c>
      <c r="E25" s="239">
        <v>65</v>
      </c>
      <c r="F25" s="239">
        <v>66</v>
      </c>
      <c r="G25" s="240">
        <v>66</v>
      </c>
      <c r="H25" s="236">
        <v>67</v>
      </c>
      <c r="I25" s="235">
        <v>72</v>
      </c>
      <c r="J25" s="235">
        <v>75</v>
      </c>
      <c r="K25" s="235">
        <v>77</v>
      </c>
      <c r="L25" s="235">
        <v>81</v>
      </c>
      <c r="M25" s="235">
        <v>81</v>
      </c>
      <c r="N25" s="232">
        <v>69.583333333333329</v>
      </c>
      <c r="O25" s="224"/>
    </row>
    <row r="26" spans="1:15" x14ac:dyDescent="0.25">
      <c r="A26" s="230" t="s">
        <v>16</v>
      </c>
      <c r="B26" s="238">
        <v>1</v>
      </c>
      <c r="C26" s="239">
        <v>1</v>
      </c>
      <c r="D26" s="239">
        <v>1</v>
      </c>
      <c r="E26" s="239">
        <v>1</v>
      </c>
      <c r="F26" s="239">
        <v>1</v>
      </c>
      <c r="G26" s="238">
        <v>1</v>
      </c>
      <c r="H26" s="231">
        <v>1</v>
      </c>
      <c r="I26" s="231">
        <v>1</v>
      </c>
      <c r="J26" s="231">
        <v>1</v>
      </c>
      <c r="K26" s="231">
        <v>1</v>
      </c>
      <c r="L26" s="231">
        <v>1</v>
      </c>
      <c r="M26" s="231">
        <v>1</v>
      </c>
      <c r="N26" s="234">
        <v>1</v>
      </c>
      <c r="O26" s="224"/>
    </row>
    <row r="27" spans="1:15" x14ac:dyDescent="0.25">
      <c r="A27" s="230" t="s">
        <v>17</v>
      </c>
      <c r="B27" s="233">
        <v>0.5</v>
      </c>
      <c r="C27" s="233">
        <v>2</v>
      </c>
      <c r="D27" s="233"/>
      <c r="E27" s="233"/>
      <c r="F27" s="233"/>
      <c r="G27" s="231"/>
      <c r="H27" s="231"/>
      <c r="I27" s="231"/>
      <c r="J27" s="231"/>
      <c r="K27" s="231"/>
      <c r="L27" s="231"/>
      <c r="M27" s="231"/>
      <c r="N27" s="234">
        <v>0.20833333333333334</v>
      </c>
      <c r="O27" s="224"/>
    </row>
    <row r="28" spans="1:15" x14ac:dyDescent="0.25">
      <c r="A28" s="230"/>
      <c r="B28" s="233"/>
      <c r="C28" s="233"/>
      <c r="D28" s="233"/>
      <c r="E28" s="233"/>
      <c r="F28" s="233"/>
      <c r="G28" s="231"/>
      <c r="H28" s="231"/>
      <c r="I28" s="231"/>
      <c r="J28" s="231"/>
      <c r="K28" s="231"/>
      <c r="L28" s="231"/>
      <c r="M28" s="231"/>
      <c r="N28" s="234"/>
      <c r="O28" s="224"/>
    </row>
    <row r="29" spans="1:15" x14ac:dyDescent="0.25">
      <c r="A29" s="244" t="s">
        <v>93</v>
      </c>
      <c r="B29" s="245">
        <v>11.5</v>
      </c>
      <c r="C29" s="245">
        <v>12</v>
      </c>
      <c r="D29" s="245">
        <v>12</v>
      </c>
      <c r="E29" s="245">
        <v>12</v>
      </c>
      <c r="F29" s="245">
        <v>12</v>
      </c>
      <c r="G29" s="246">
        <v>12</v>
      </c>
      <c r="H29" s="246">
        <v>12</v>
      </c>
      <c r="I29" s="246">
        <v>12</v>
      </c>
      <c r="J29" s="246">
        <v>10</v>
      </c>
      <c r="K29" s="246">
        <v>9</v>
      </c>
      <c r="L29" s="246">
        <v>6</v>
      </c>
      <c r="M29" s="246">
        <v>6</v>
      </c>
      <c r="N29" s="243">
        <f>SUM(B29,C29,D29,E29,F29,G29,H29,I29,J29,K29,L29,M29)/12</f>
        <v>10.541666666666666</v>
      </c>
      <c r="O29" s="224"/>
    </row>
    <row r="30" spans="1:15" x14ac:dyDescent="0.25">
      <c r="A30" s="245" t="s">
        <v>94</v>
      </c>
      <c r="B30" s="246"/>
      <c r="C30" s="246"/>
      <c r="D30" s="246"/>
      <c r="E30" s="246"/>
      <c r="F30" s="246"/>
      <c r="G30" s="246"/>
      <c r="H30" s="245"/>
      <c r="I30" s="246"/>
      <c r="J30" s="246"/>
      <c r="K30" s="246"/>
      <c r="L30" s="246"/>
      <c r="M30" s="246"/>
      <c r="N30" s="247"/>
      <c r="O30" s="224"/>
    </row>
    <row r="31" spans="1:15" x14ac:dyDescent="0.25">
      <c r="A31" s="228" t="s">
        <v>18</v>
      </c>
      <c r="B31" s="233">
        <v>60.55</v>
      </c>
      <c r="C31" s="233">
        <v>64.8</v>
      </c>
      <c r="D31" s="233">
        <v>65.8</v>
      </c>
      <c r="E31" s="233">
        <v>65.8</v>
      </c>
      <c r="F31" s="233">
        <v>66.8</v>
      </c>
      <c r="G31" s="233">
        <v>66.8</v>
      </c>
      <c r="H31" s="233">
        <v>67.8</v>
      </c>
      <c r="I31" s="233">
        <v>72.8</v>
      </c>
      <c r="J31" s="233">
        <v>75.8</v>
      </c>
      <c r="K31" s="233">
        <v>77.8</v>
      </c>
      <c r="L31" s="233">
        <v>81.8</v>
      </c>
      <c r="M31" s="233">
        <v>81.8</v>
      </c>
      <c r="N31" s="234">
        <v>70.695833333333312</v>
      </c>
      <c r="O31" s="224"/>
    </row>
    <row r="32" spans="1:15" x14ac:dyDescent="0.25">
      <c r="A32" s="225"/>
      <c r="B32" s="227">
        <v>5</v>
      </c>
      <c r="C32" s="227">
        <v>3</v>
      </c>
      <c r="D32" s="227">
        <v>2</v>
      </c>
      <c r="E32" s="227">
        <v>0</v>
      </c>
      <c r="F32" s="227">
        <v>1</v>
      </c>
      <c r="G32" s="227">
        <v>0</v>
      </c>
      <c r="H32" s="227">
        <v>1</v>
      </c>
      <c r="I32" s="227">
        <v>5</v>
      </c>
      <c r="J32" s="227">
        <v>3</v>
      </c>
      <c r="K32" s="227">
        <v>2</v>
      </c>
      <c r="L32" s="227">
        <v>4</v>
      </c>
      <c r="M32" s="227">
        <v>0</v>
      </c>
      <c r="N32" s="234">
        <v>26</v>
      </c>
      <c r="O32" s="224"/>
    </row>
    <row r="33" spans="1:15" x14ac:dyDescent="0.25">
      <c r="A33" s="224"/>
      <c r="B33" s="226" t="s">
        <v>95</v>
      </c>
      <c r="C33" s="226">
        <v>-41010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x14ac:dyDescent="0.25">
      <c r="A34" s="224"/>
      <c r="B34" s="237" t="s">
        <v>96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</row>
    <row r="35" spans="1:15" x14ac:dyDescent="0.25">
      <c r="A35" s="224"/>
      <c r="B35" s="237" t="s">
        <v>70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1:15" x14ac:dyDescent="0.25">
      <c r="A36" s="242" t="s">
        <v>97</v>
      </c>
      <c r="B36" s="242" t="s">
        <v>98</v>
      </c>
      <c r="C36" s="242"/>
      <c r="D36" s="242"/>
      <c r="E36" s="242"/>
      <c r="F36" s="242"/>
      <c r="G36" s="242"/>
      <c r="H36" s="242"/>
      <c r="I36" s="242" t="s">
        <v>99</v>
      </c>
      <c r="J36" s="242" t="s">
        <v>100</v>
      </c>
      <c r="K36" s="242" t="s">
        <v>101</v>
      </c>
      <c r="L36" s="242" t="s">
        <v>102</v>
      </c>
      <c r="M36" s="242"/>
      <c r="N36" s="242"/>
      <c r="O36" s="224"/>
    </row>
    <row r="37" spans="1:15" x14ac:dyDescent="0.25">
      <c r="A37" s="224"/>
      <c r="B37" s="224"/>
      <c r="C37" s="224"/>
      <c r="D37" s="224"/>
      <c r="E37" s="224"/>
      <c r="F37" s="224"/>
      <c r="G37" s="224"/>
      <c r="H37" s="224"/>
      <c r="I37" s="241" t="s">
        <v>103</v>
      </c>
      <c r="J37" s="224"/>
      <c r="K37" s="224"/>
      <c r="L37" s="224"/>
      <c r="M37" s="224"/>
      <c r="N37" s="224"/>
      <c r="O37" s="224"/>
    </row>
    <row r="38" spans="1:15" x14ac:dyDescent="0.25">
      <c r="A38" s="298"/>
      <c r="B38" s="298"/>
      <c r="C38" s="298"/>
      <c r="D38" s="298"/>
      <c r="E38" s="298"/>
      <c r="F38" s="298"/>
      <c r="G38" s="298"/>
      <c r="H38" s="298"/>
      <c r="I38" s="241"/>
      <c r="J38" s="298"/>
      <c r="K38" s="298"/>
      <c r="L38" s="298"/>
      <c r="M38" s="298"/>
      <c r="N38" s="298"/>
      <c r="O38" s="298"/>
    </row>
    <row r="39" spans="1:15" x14ac:dyDescent="0.25">
      <c r="A39" s="400" t="s">
        <v>292</v>
      </c>
      <c r="B39" s="400"/>
      <c r="C39" s="400"/>
      <c r="D39" s="400"/>
    </row>
    <row r="40" spans="1:15" s="2" customFormat="1" x14ac:dyDescent="0.25">
      <c r="A40" s="3"/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4" t="s">
        <v>12</v>
      </c>
      <c r="M40" s="4" t="s">
        <v>13</v>
      </c>
      <c r="N40" s="5" t="s">
        <v>14</v>
      </c>
    </row>
    <row r="41" spans="1:15" s="2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 s="2" customFormat="1" x14ac:dyDescent="0.25">
      <c r="A42" s="5" t="s">
        <v>15</v>
      </c>
      <c r="B42" s="6">
        <f>80-19+3</f>
        <v>64</v>
      </c>
      <c r="C42" s="4">
        <v>65</v>
      </c>
      <c r="D42" s="4">
        <v>66</v>
      </c>
      <c r="E42" s="4">
        <v>66</v>
      </c>
      <c r="F42" s="4">
        <v>69</v>
      </c>
      <c r="G42" s="7">
        <v>70</v>
      </c>
      <c r="H42" s="4">
        <v>73</v>
      </c>
      <c r="I42" s="4">
        <v>76</v>
      </c>
      <c r="J42" s="4">
        <v>77</v>
      </c>
      <c r="K42" s="4">
        <v>77</v>
      </c>
      <c r="L42" s="4">
        <v>77</v>
      </c>
      <c r="M42" s="4">
        <v>79</v>
      </c>
      <c r="N42" s="8">
        <f>SUM(B42:M42)/12</f>
        <v>71.583333333333329</v>
      </c>
    </row>
    <row r="43" spans="1:15" s="2" customFormat="1" x14ac:dyDescent="0.25">
      <c r="A43" s="5" t="s">
        <v>16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>
        <f>SUM(B43:M43)/12</f>
        <v>0</v>
      </c>
    </row>
    <row r="44" spans="1:15" s="2" customFormat="1" x14ac:dyDescent="0.25">
      <c r="A44" s="5" t="s">
        <v>17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f>SUM(B44:M44)/12</f>
        <v>0</v>
      </c>
    </row>
    <row r="45" spans="1:15" s="2" customFormat="1" x14ac:dyDescent="0.25">
      <c r="A45" s="5"/>
      <c r="B45" s="11"/>
      <c r="C45" s="11"/>
      <c r="D45" s="11"/>
      <c r="E45" s="11"/>
      <c r="F45" s="11"/>
      <c r="G45" s="11"/>
      <c r="H45" s="9"/>
      <c r="I45" s="11"/>
      <c r="J45" s="11"/>
      <c r="K45" s="11"/>
      <c r="L45" s="11"/>
      <c r="M45" s="11"/>
      <c r="N45" s="12"/>
      <c r="O45" s="13"/>
    </row>
    <row r="46" spans="1:15" s="2" customFormat="1" x14ac:dyDescent="0.25">
      <c r="A46" s="3" t="s">
        <v>62</v>
      </c>
      <c r="B46" s="4">
        <f>B42+(B44*1.5)+(B43*0.8)</f>
        <v>64</v>
      </c>
      <c r="C46" s="4">
        <f>C42+(C44*1.5)+(C43*0.8)</f>
        <v>65</v>
      </c>
      <c r="D46" s="4">
        <f>D42+(D44*1.5)+(D43*0.8)</f>
        <v>66</v>
      </c>
      <c r="E46" s="4">
        <f>E42+(E44*1.5)+(E43*0.8)</f>
        <v>66</v>
      </c>
      <c r="F46" s="4">
        <f>F42+(F44*1.5)+(F43*0.8)</f>
        <v>69</v>
      </c>
      <c r="G46" s="4">
        <f t="shared" ref="G46:M46" si="1">G42+(G44*1.5)+(G43*0.8)</f>
        <v>70</v>
      </c>
      <c r="H46" s="4">
        <f t="shared" si="1"/>
        <v>73</v>
      </c>
      <c r="I46" s="4">
        <f t="shared" si="1"/>
        <v>76</v>
      </c>
      <c r="J46" s="4">
        <f t="shared" si="1"/>
        <v>77</v>
      </c>
      <c r="K46" s="4">
        <f t="shared" si="1"/>
        <v>77</v>
      </c>
      <c r="L46" s="4">
        <f t="shared" si="1"/>
        <v>77</v>
      </c>
      <c r="M46" s="4">
        <f t="shared" si="1"/>
        <v>79</v>
      </c>
      <c r="N46" s="10">
        <f>SUM(B46:M46)/12</f>
        <v>71.583333333333329</v>
      </c>
    </row>
    <row r="48" spans="1:15" x14ac:dyDescent="0.25">
      <c r="A48" s="292" t="s">
        <v>93</v>
      </c>
      <c r="B48" s="245">
        <f>7+1+0.5</f>
        <v>8.5</v>
      </c>
      <c r="C48" s="245">
        <f>9+1</f>
        <v>10</v>
      </c>
      <c r="D48" s="245">
        <v>10</v>
      </c>
      <c r="E48" s="245">
        <v>10</v>
      </c>
      <c r="F48" s="245">
        <v>9</v>
      </c>
      <c r="G48" s="293">
        <v>9</v>
      </c>
      <c r="H48" s="293">
        <v>7</v>
      </c>
      <c r="I48" s="293">
        <v>7</v>
      </c>
      <c r="J48" s="293">
        <v>7</v>
      </c>
      <c r="K48" s="293">
        <v>7</v>
      </c>
      <c r="L48" s="293">
        <v>7</v>
      </c>
      <c r="M48" s="293">
        <v>6</v>
      </c>
      <c r="N48" s="294">
        <f>SUM(B48,C48,D48,E48,F48,G48,H48,I48,J48,K48,L48,M48)/12</f>
        <v>8.125</v>
      </c>
      <c r="O48" s="298"/>
    </row>
    <row r="49" spans="1:15" x14ac:dyDescent="0.25">
      <c r="A49" s="245" t="s">
        <v>94</v>
      </c>
      <c r="B49" s="293"/>
      <c r="C49" s="293"/>
      <c r="D49" s="293"/>
      <c r="E49" s="293"/>
      <c r="F49" s="293"/>
      <c r="G49" s="293"/>
      <c r="H49" s="245"/>
      <c r="I49" s="293"/>
      <c r="J49" s="293"/>
      <c r="K49" s="293"/>
      <c r="L49" s="293"/>
      <c r="M49" s="293"/>
      <c r="N49" s="247"/>
      <c r="O49" s="298"/>
    </row>
    <row r="51" spans="1:15" s="2" customFormat="1" x14ac:dyDescent="0.25">
      <c r="A51" s="365" t="s">
        <v>188</v>
      </c>
      <c r="B51" s="376">
        <v>3</v>
      </c>
      <c r="C51" s="370">
        <v>1</v>
      </c>
      <c r="D51" s="370">
        <v>1</v>
      </c>
      <c r="E51" s="370">
        <v>0</v>
      </c>
      <c r="F51" s="370">
        <v>3</v>
      </c>
      <c r="G51" s="370">
        <v>1</v>
      </c>
      <c r="H51" s="370">
        <v>3</v>
      </c>
      <c r="I51" s="370">
        <v>3</v>
      </c>
      <c r="J51" s="370">
        <v>1</v>
      </c>
      <c r="K51" s="370">
        <v>0</v>
      </c>
      <c r="L51" s="370">
        <v>0</v>
      </c>
      <c r="M51" s="370">
        <v>2</v>
      </c>
      <c r="N51" s="17">
        <f>SUM(B51:M51)</f>
        <v>18</v>
      </c>
      <c r="O51" s="16"/>
    </row>
    <row r="52" spans="1:15" x14ac:dyDescent="0.25">
      <c r="A52" s="377"/>
      <c r="B52" s="378" t="s">
        <v>302</v>
      </c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</row>
    <row r="54" spans="1:15" x14ac:dyDescent="0.25">
      <c r="A54" s="295" t="s">
        <v>97</v>
      </c>
      <c r="B54" s="295" t="s">
        <v>191</v>
      </c>
      <c r="C54" s="295">
        <v>1</v>
      </c>
      <c r="D54" s="295"/>
      <c r="E54" s="295"/>
      <c r="F54" s="295" t="s">
        <v>130</v>
      </c>
      <c r="G54" s="295"/>
      <c r="H54" s="295" t="s">
        <v>86</v>
      </c>
      <c r="I54" s="295"/>
      <c r="J54" s="295"/>
      <c r="K54" s="295"/>
      <c r="L54" s="295"/>
      <c r="M54" s="295" t="s">
        <v>192</v>
      </c>
      <c r="N54" s="295"/>
      <c r="O54" s="298"/>
    </row>
    <row r="55" spans="1:15" x14ac:dyDescent="0.25">
      <c r="A55" s="298"/>
      <c r="B55" s="298"/>
      <c r="C55" s="298"/>
      <c r="D55" s="298"/>
      <c r="E55" s="298"/>
      <c r="F55" s="298"/>
      <c r="G55" s="298"/>
      <c r="H55" s="298"/>
      <c r="I55" s="241"/>
      <c r="J55" s="298"/>
      <c r="K55" s="298"/>
      <c r="L55" s="298"/>
      <c r="M55" s="298"/>
      <c r="N55" s="298"/>
      <c r="O55" s="298"/>
    </row>
    <row r="57" spans="1:15" x14ac:dyDescent="0.25">
      <c r="A57" s="358" t="s">
        <v>160</v>
      </c>
      <c r="B57" s="358"/>
      <c r="C57" s="358"/>
      <c r="D57" s="358"/>
    </row>
    <row r="58" spans="1:15" s="2" customFormat="1" x14ac:dyDescent="0.25">
      <c r="A58" s="3"/>
      <c r="B58" s="4" t="s">
        <v>2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4" t="s">
        <v>9</v>
      </c>
      <c r="J58" s="4" t="s">
        <v>10</v>
      </c>
      <c r="K58" s="4" t="s">
        <v>11</v>
      </c>
      <c r="L58" s="4" t="s">
        <v>12</v>
      </c>
      <c r="M58" s="4" t="s">
        <v>13</v>
      </c>
      <c r="N58" s="5" t="s">
        <v>14</v>
      </c>
    </row>
    <row r="59" spans="1:15" s="2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5" s="2" customFormat="1" x14ac:dyDescent="0.25">
      <c r="A60" s="5" t="s">
        <v>15</v>
      </c>
      <c r="B60" s="6">
        <f>84-22+4</f>
        <v>66</v>
      </c>
      <c r="C60" s="4">
        <v>67</v>
      </c>
      <c r="D60" s="4">
        <v>68</v>
      </c>
      <c r="E60" s="4">
        <v>68</v>
      </c>
      <c r="F60" s="4">
        <v>71</v>
      </c>
      <c r="G60" s="7">
        <v>72</v>
      </c>
      <c r="H60" s="4">
        <v>75</v>
      </c>
      <c r="I60" s="4">
        <v>78</v>
      </c>
      <c r="J60" s="4">
        <v>79</v>
      </c>
      <c r="K60" s="4">
        <v>79</v>
      </c>
      <c r="L60" s="4">
        <v>79</v>
      </c>
      <c r="M60" s="4">
        <v>82</v>
      </c>
      <c r="N60" s="8">
        <f>SUM(B60:M60)/12</f>
        <v>73.666666666666671</v>
      </c>
    </row>
    <row r="61" spans="1:15" s="2" customFormat="1" x14ac:dyDescent="0.25">
      <c r="A61" s="5" t="s">
        <v>16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0">
        <f>SUM(B61:M61)/12</f>
        <v>0</v>
      </c>
    </row>
    <row r="62" spans="1:15" s="2" customFormat="1" x14ac:dyDescent="0.25">
      <c r="A62" s="5" t="s">
        <v>17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0">
        <f>SUM(B62:M62)/12</f>
        <v>0</v>
      </c>
    </row>
    <row r="63" spans="1:15" s="2" customFormat="1" x14ac:dyDescent="0.25">
      <c r="A63" s="5"/>
      <c r="B63" s="11"/>
      <c r="C63" s="11"/>
      <c r="D63" s="11"/>
      <c r="E63" s="11"/>
      <c r="F63" s="11"/>
      <c r="G63" s="11"/>
      <c r="H63" s="9"/>
      <c r="I63" s="11"/>
      <c r="J63" s="11"/>
      <c r="K63" s="11"/>
      <c r="L63" s="11"/>
      <c r="M63" s="11"/>
      <c r="N63" s="12"/>
      <c r="O63" s="13"/>
    </row>
    <row r="64" spans="1:15" s="2" customFormat="1" x14ac:dyDescent="0.25">
      <c r="A64" s="3" t="s">
        <v>62</v>
      </c>
      <c r="B64" s="4">
        <f>B60+(B62*1.5)+(B61*0.8)</f>
        <v>66</v>
      </c>
      <c r="C64" s="4">
        <f>C60+(C62*1.5)+(C61*0.8)</f>
        <v>67</v>
      </c>
      <c r="D64" s="4">
        <f>D60+(D62*1.5)+(D61*0.8)</f>
        <v>68</v>
      </c>
      <c r="E64" s="4">
        <f>E60+(E62*1.5)+(E61*0.8)</f>
        <v>68</v>
      </c>
      <c r="F64" s="4">
        <f>F60+(F62*1.5)+(F61*0.8)</f>
        <v>71</v>
      </c>
      <c r="G64" s="4">
        <f t="shared" ref="G64:M64" si="2">G60+(G62*1.5)+(G61*0.8)</f>
        <v>72</v>
      </c>
      <c r="H64" s="4">
        <f t="shared" si="2"/>
        <v>75</v>
      </c>
      <c r="I64" s="4">
        <f t="shared" si="2"/>
        <v>78</v>
      </c>
      <c r="J64" s="4">
        <f t="shared" si="2"/>
        <v>79</v>
      </c>
      <c r="K64" s="4">
        <f t="shared" si="2"/>
        <v>79</v>
      </c>
      <c r="L64" s="4">
        <f t="shared" si="2"/>
        <v>79</v>
      </c>
      <c r="M64" s="4">
        <f t="shared" si="2"/>
        <v>82</v>
      </c>
      <c r="N64" s="10">
        <f>SUM(B64:M64)/12</f>
        <v>73.666666666666671</v>
      </c>
    </row>
    <row r="66" spans="1:15" x14ac:dyDescent="0.25">
      <c r="A66" s="292" t="s">
        <v>93</v>
      </c>
      <c r="B66" s="245">
        <f>8+1+0.5</f>
        <v>9.5</v>
      </c>
      <c r="C66" s="245">
        <f>10+1</f>
        <v>11</v>
      </c>
      <c r="D66" s="245">
        <v>11</v>
      </c>
      <c r="E66" s="245">
        <v>11</v>
      </c>
      <c r="F66" s="245">
        <v>10</v>
      </c>
      <c r="G66" s="293">
        <v>10</v>
      </c>
      <c r="H66" s="293">
        <v>8</v>
      </c>
      <c r="I66" s="293">
        <v>8</v>
      </c>
      <c r="J66" s="293">
        <v>8</v>
      </c>
      <c r="K66" s="293">
        <v>8</v>
      </c>
      <c r="L66" s="293">
        <v>8</v>
      </c>
      <c r="M66" s="293">
        <v>7</v>
      </c>
      <c r="N66" s="294">
        <f>SUM(B66,C66,D66,E66,F66,G66,H66,I66,J66,K66,L66,M66)/12</f>
        <v>9.125</v>
      </c>
      <c r="O66" s="298"/>
    </row>
    <row r="67" spans="1:15" x14ac:dyDescent="0.25">
      <c r="A67" s="245" t="s">
        <v>94</v>
      </c>
      <c r="B67" s="293"/>
      <c r="C67" s="293"/>
      <c r="D67" s="293"/>
      <c r="E67" s="293"/>
      <c r="F67" s="293"/>
      <c r="G67" s="293"/>
      <c r="H67" s="245"/>
      <c r="I67" s="293"/>
      <c r="J67" s="293"/>
      <c r="K67" s="293"/>
      <c r="L67" s="293"/>
      <c r="M67" s="293"/>
      <c r="N67" s="247"/>
      <c r="O67" s="298"/>
    </row>
    <row r="69" spans="1:15" s="2" customFormat="1" x14ac:dyDescent="0.25">
      <c r="A69" s="365" t="s">
        <v>188</v>
      </c>
      <c r="B69" s="376">
        <v>4</v>
      </c>
      <c r="C69" s="370">
        <v>1</v>
      </c>
      <c r="D69" s="370">
        <v>1</v>
      </c>
      <c r="E69" s="370">
        <v>0</v>
      </c>
      <c r="F69" s="370">
        <v>3</v>
      </c>
      <c r="G69" s="370">
        <v>1</v>
      </c>
      <c r="H69" s="370">
        <v>3</v>
      </c>
      <c r="I69" s="370">
        <v>3</v>
      </c>
      <c r="J69" s="370">
        <v>1</v>
      </c>
      <c r="K69" s="370"/>
      <c r="L69" s="370"/>
      <c r="M69" s="370">
        <v>3</v>
      </c>
      <c r="N69" s="17">
        <f>SUM(B69:M69)</f>
        <v>20</v>
      </c>
      <c r="O69" s="16"/>
    </row>
    <row r="70" spans="1:15" x14ac:dyDescent="0.25">
      <c r="A70" s="377"/>
      <c r="B70" s="378" t="s">
        <v>77</v>
      </c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</row>
    <row r="72" spans="1:15" x14ac:dyDescent="0.25">
      <c r="A72" s="295" t="s">
        <v>97</v>
      </c>
      <c r="B72" s="295" t="s">
        <v>191</v>
      </c>
      <c r="C72" s="295">
        <v>1</v>
      </c>
      <c r="D72" s="295"/>
      <c r="E72" s="295"/>
      <c r="F72" s="295" t="s">
        <v>130</v>
      </c>
      <c r="G72" s="295"/>
      <c r="H72" s="295" t="s">
        <v>86</v>
      </c>
      <c r="I72" s="295"/>
      <c r="J72" s="295"/>
      <c r="K72" s="295"/>
      <c r="L72" s="295"/>
      <c r="M72" s="295" t="s">
        <v>192</v>
      </c>
      <c r="N72" s="295"/>
      <c r="O72" s="29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37" sqref="B37"/>
    </sheetView>
  </sheetViews>
  <sheetFormatPr defaultRowHeight="15" x14ac:dyDescent="0.25"/>
  <sheetData>
    <row r="1" spans="1:15" x14ac:dyDescent="0.25">
      <c r="A1" t="s">
        <v>88</v>
      </c>
    </row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303" t="s">
        <v>88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5" x14ac:dyDescent="0.25">
      <c r="A5" s="86" t="s">
        <v>15</v>
      </c>
      <c r="B5" s="32">
        <f>48-0.5</f>
        <v>47.5</v>
      </c>
      <c r="C5" s="58">
        <v>48</v>
      </c>
      <c r="D5" s="58">
        <f>48+3+0.25</f>
        <v>51.25</v>
      </c>
      <c r="E5" s="58">
        <f>52+4</f>
        <v>56</v>
      </c>
      <c r="F5" s="58">
        <f>56-0.5</f>
        <v>55.5</v>
      </c>
      <c r="G5" s="386">
        <f>55+3</f>
        <v>58</v>
      </c>
      <c r="H5" s="58">
        <f>58-3+2</f>
        <v>57</v>
      </c>
      <c r="I5" s="58">
        <v>57</v>
      </c>
      <c r="J5" s="58">
        <v>58</v>
      </c>
      <c r="K5" s="58">
        <f>58+1+1+0.5</f>
        <v>60.5</v>
      </c>
      <c r="L5" s="41">
        <f>61+2</f>
        <v>63</v>
      </c>
      <c r="M5" s="4">
        <f>63+1</f>
        <v>64</v>
      </c>
      <c r="N5" s="8">
        <f>SUM(B5:M5)/12</f>
        <v>56.3125</v>
      </c>
      <c r="O5" s="66"/>
    </row>
    <row r="6" spans="1:15" x14ac:dyDescent="0.25">
      <c r="A6" s="86" t="s">
        <v>16</v>
      </c>
      <c r="B6" s="33">
        <v>0.5</v>
      </c>
      <c r="C6" s="33">
        <v>1</v>
      </c>
      <c r="D6" s="33">
        <v>1</v>
      </c>
      <c r="E6" s="33">
        <v>1</v>
      </c>
      <c r="F6" s="33">
        <v>1</v>
      </c>
      <c r="G6" s="33">
        <v>1</v>
      </c>
      <c r="H6" s="33">
        <v>1</v>
      </c>
      <c r="I6" s="33">
        <v>2</v>
      </c>
      <c r="J6" s="33">
        <v>2</v>
      </c>
      <c r="K6" s="33">
        <f>2-1</f>
        <v>1</v>
      </c>
      <c r="L6" s="43">
        <f>1-1</f>
        <v>0</v>
      </c>
      <c r="M6" s="9">
        <v>0</v>
      </c>
      <c r="N6" s="10">
        <f>SUM(B6:M6)/12</f>
        <v>0.95833333333333337</v>
      </c>
      <c r="O6" s="66"/>
    </row>
    <row r="7" spans="1:15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  <c r="O7" s="66"/>
    </row>
    <row r="8" spans="1:15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15" x14ac:dyDescent="0.25">
      <c r="A9" s="84" t="s">
        <v>18</v>
      </c>
      <c r="B9" s="4">
        <f>B5+(B7*1.5)+(B6*0.8)</f>
        <v>47.9</v>
      </c>
      <c r="C9" s="4">
        <f>C5+(C7*1.5)+(C6*0.8)</f>
        <v>48.8</v>
      </c>
      <c r="D9" s="4">
        <f>D5+(D7*1.5)+(D6*0.8)</f>
        <v>52.05</v>
      </c>
      <c r="E9" s="4">
        <f>E5+(E7*1.5)+(E6*0.8)</f>
        <v>56.8</v>
      </c>
      <c r="F9" s="4">
        <f>F5+(F7*1.5)+(F6*0.8)</f>
        <v>56.3</v>
      </c>
      <c r="G9" s="4">
        <f t="shared" ref="G9:M9" si="0">G5+(G7*1.5)+(G6*0.8)</f>
        <v>58.8</v>
      </c>
      <c r="H9" s="4">
        <f t="shared" si="0"/>
        <v>57.8</v>
      </c>
      <c r="I9" s="4">
        <f t="shared" si="0"/>
        <v>58.6</v>
      </c>
      <c r="J9" s="4">
        <f t="shared" si="0"/>
        <v>59.6</v>
      </c>
      <c r="K9" s="4">
        <f t="shared" si="0"/>
        <v>61.3</v>
      </c>
      <c r="L9" s="4">
        <f t="shared" si="0"/>
        <v>63</v>
      </c>
      <c r="M9" s="4">
        <f t="shared" si="0"/>
        <v>64</v>
      </c>
      <c r="N9" s="10">
        <f>SUM(B9:M9)/12</f>
        <v>57.079166666666673</v>
      </c>
      <c r="O9" s="66"/>
    </row>
    <row r="10" spans="1:15" x14ac:dyDescent="0.25">
      <c r="A10" s="81" t="s">
        <v>19</v>
      </c>
      <c r="B10" s="372">
        <v>1</v>
      </c>
      <c r="C10" s="373">
        <v>1</v>
      </c>
      <c r="D10" s="373">
        <v>4</v>
      </c>
      <c r="E10" s="373">
        <v>4</v>
      </c>
      <c r="F10" s="373">
        <v>0</v>
      </c>
      <c r="G10" s="373">
        <v>3</v>
      </c>
      <c r="H10" s="373">
        <v>2</v>
      </c>
      <c r="I10" s="373">
        <v>1</v>
      </c>
      <c r="J10" s="373">
        <v>1</v>
      </c>
      <c r="K10" s="373">
        <v>2</v>
      </c>
      <c r="L10" s="373">
        <v>2</v>
      </c>
      <c r="M10" s="373">
        <v>1</v>
      </c>
      <c r="N10" s="82">
        <v>7</v>
      </c>
      <c r="O10" s="66"/>
    </row>
    <row r="11" spans="1:15" x14ac:dyDescent="0.25">
      <c r="B11" s="54" t="s">
        <v>177</v>
      </c>
      <c r="C11" s="54"/>
      <c r="D11" s="54" t="s">
        <v>58</v>
      </c>
      <c r="E11" s="54"/>
      <c r="F11" s="54" t="s">
        <v>142</v>
      </c>
      <c r="G11" s="54" t="s">
        <v>178</v>
      </c>
      <c r="H11" s="54"/>
      <c r="I11" s="54" t="s">
        <v>278</v>
      </c>
      <c r="J11" s="54"/>
      <c r="L11" s="54"/>
      <c r="M11" s="54"/>
    </row>
    <row r="12" spans="1:15" x14ac:dyDescent="0.25">
      <c r="B12" s="54" t="s">
        <v>176</v>
      </c>
      <c r="C12" s="54"/>
      <c r="D12" s="54"/>
      <c r="E12" s="54"/>
      <c r="F12" s="54"/>
      <c r="G12" s="54"/>
      <c r="H12" s="54"/>
      <c r="I12" s="54"/>
      <c r="J12" s="54"/>
      <c r="K12" s="54" t="s">
        <v>277</v>
      </c>
      <c r="L12" s="54"/>
      <c r="M12" s="54"/>
    </row>
    <row r="13" spans="1:15" x14ac:dyDescent="0.25">
      <c r="K13" s="54" t="s">
        <v>306</v>
      </c>
    </row>
    <row r="15" spans="1:15" x14ac:dyDescent="0.25">
      <c r="A15" s="222" t="s">
        <v>76</v>
      </c>
      <c r="B15" s="223"/>
      <c r="C15" s="223"/>
      <c r="D15" s="223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  <row r="16" spans="1:15" x14ac:dyDescent="0.25">
      <c r="A16" s="209" t="s">
        <v>88</v>
      </c>
      <c r="B16" s="210" t="s">
        <v>2</v>
      </c>
      <c r="C16" s="210" t="s">
        <v>3</v>
      </c>
      <c r="D16" s="210" t="s">
        <v>4</v>
      </c>
      <c r="E16" s="210" t="s">
        <v>5</v>
      </c>
      <c r="F16" s="210" t="s">
        <v>6</v>
      </c>
      <c r="G16" s="210" t="s">
        <v>7</v>
      </c>
      <c r="H16" s="210" t="s">
        <v>8</v>
      </c>
      <c r="I16" s="210" t="s">
        <v>9</v>
      </c>
      <c r="J16" s="210" t="s">
        <v>10</v>
      </c>
      <c r="K16" s="210" t="s">
        <v>11</v>
      </c>
      <c r="L16" s="210" t="s">
        <v>12</v>
      </c>
      <c r="M16" s="210" t="s">
        <v>13</v>
      </c>
      <c r="N16" s="211" t="s">
        <v>14</v>
      </c>
    </row>
    <row r="17" spans="1:14" x14ac:dyDescent="0.25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x14ac:dyDescent="0.25">
      <c r="A18" s="211" t="s">
        <v>15</v>
      </c>
      <c r="B18" s="219">
        <v>47.5</v>
      </c>
      <c r="C18" s="219">
        <v>48</v>
      </c>
      <c r="D18" s="219">
        <v>52</v>
      </c>
      <c r="E18" s="219">
        <v>56</v>
      </c>
      <c r="F18" s="219">
        <v>56</v>
      </c>
      <c r="G18" s="220">
        <v>59</v>
      </c>
      <c r="H18" s="218">
        <v>60</v>
      </c>
      <c r="I18" s="217">
        <v>60</v>
      </c>
      <c r="J18" s="217">
        <v>61</v>
      </c>
      <c r="K18" s="217">
        <v>63</v>
      </c>
      <c r="L18" s="217">
        <v>65</v>
      </c>
      <c r="M18" s="217">
        <v>66</v>
      </c>
      <c r="N18" s="213">
        <v>57.791666666666664</v>
      </c>
    </row>
    <row r="19" spans="1:14" x14ac:dyDescent="0.25">
      <c r="A19" s="211" t="s">
        <v>16</v>
      </c>
      <c r="B19" s="219">
        <v>0.5</v>
      </c>
      <c r="C19" s="219">
        <v>1</v>
      </c>
      <c r="D19" s="219">
        <v>1</v>
      </c>
      <c r="E19" s="219">
        <v>1</v>
      </c>
      <c r="F19" s="219">
        <v>1</v>
      </c>
      <c r="G19" s="219">
        <v>1</v>
      </c>
      <c r="H19" s="212">
        <v>1</v>
      </c>
      <c r="I19" s="212">
        <v>1</v>
      </c>
      <c r="J19" s="212">
        <v>1</v>
      </c>
      <c r="K19" s="212">
        <v>1</v>
      </c>
      <c r="L19" s="212">
        <v>1</v>
      </c>
      <c r="M19" s="212">
        <v>1</v>
      </c>
      <c r="N19" s="215">
        <v>0.95833333333333337</v>
      </c>
    </row>
    <row r="20" spans="1:14" x14ac:dyDescent="0.25">
      <c r="A20" s="211" t="s">
        <v>17</v>
      </c>
      <c r="B20" s="214"/>
      <c r="C20" s="214"/>
      <c r="D20" s="214"/>
      <c r="E20" s="214"/>
      <c r="F20" s="214"/>
      <c r="G20" s="212"/>
      <c r="H20" s="212"/>
      <c r="I20" s="212"/>
      <c r="J20" s="212"/>
      <c r="K20" s="212"/>
      <c r="L20" s="212"/>
      <c r="M20" s="212"/>
      <c r="N20" s="215">
        <v>0</v>
      </c>
    </row>
    <row r="21" spans="1:14" x14ac:dyDescent="0.25">
      <c r="A21" s="211"/>
      <c r="B21" s="212"/>
      <c r="C21" s="212"/>
      <c r="D21" s="212"/>
      <c r="E21" s="212"/>
      <c r="F21" s="212"/>
      <c r="G21" s="212"/>
      <c r="H21" s="214"/>
      <c r="I21" s="212"/>
      <c r="J21" s="212"/>
      <c r="K21" s="212"/>
      <c r="L21" s="212"/>
      <c r="M21" s="212"/>
      <c r="N21" s="216"/>
    </row>
    <row r="22" spans="1:14" x14ac:dyDescent="0.25">
      <c r="A22" s="209" t="s">
        <v>18</v>
      </c>
      <c r="B22" s="214">
        <v>47.9</v>
      </c>
      <c r="C22" s="214">
        <v>48.8</v>
      </c>
      <c r="D22" s="214">
        <v>52.8</v>
      </c>
      <c r="E22" s="214">
        <v>56.8</v>
      </c>
      <c r="F22" s="214">
        <v>56.8</v>
      </c>
      <c r="G22" s="214">
        <v>59.8</v>
      </c>
      <c r="H22" s="214">
        <v>60.8</v>
      </c>
      <c r="I22" s="214">
        <v>60.8</v>
      </c>
      <c r="J22" s="214">
        <v>61.8</v>
      </c>
      <c r="K22" s="214">
        <v>63.8</v>
      </c>
      <c r="L22" s="214">
        <v>65.8</v>
      </c>
      <c r="M22" s="214">
        <v>66.8</v>
      </c>
      <c r="N22" s="215">
        <v>58.55833333333333</v>
      </c>
    </row>
    <row r="23" spans="1:14" x14ac:dyDescent="0.25">
      <c r="A23" s="207"/>
      <c r="B23" s="208">
        <v>1</v>
      </c>
      <c r="C23" s="208">
        <v>1</v>
      </c>
      <c r="D23" s="208">
        <v>4</v>
      </c>
      <c r="E23" s="208">
        <v>4</v>
      </c>
      <c r="F23" s="208">
        <v>0</v>
      </c>
      <c r="G23" s="208">
        <v>3</v>
      </c>
      <c r="H23" s="208">
        <v>1</v>
      </c>
      <c r="I23" s="208">
        <v>0</v>
      </c>
      <c r="J23" s="208">
        <v>1</v>
      </c>
      <c r="K23" s="208">
        <v>2</v>
      </c>
      <c r="L23" s="208">
        <v>2</v>
      </c>
      <c r="M23" s="208">
        <v>1</v>
      </c>
      <c r="N23" s="215">
        <v>20</v>
      </c>
    </row>
    <row r="24" spans="1:14" x14ac:dyDescent="0.25">
      <c r="A24" s="206"/>
      <c r="B24" s="221" t="s">
        <v>89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</row>
    <row r="25" spans="1:14" x14ac:dyDescent="0.25">
      <c r="A25" s="206"/>
      <c r="B25" s="221" t="s">
        <v>90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</row>
    <row r="26" spans="1:14" x14ac:dyDescent="0.25">
      <c r="A26" s="206"/>
      <c r="B26" s="221" t="s">
        <v>91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</row>
    <row r="28" spans="1:14" x14ac:dyDescent="0.25">
      <c r="A28" s="400" t="s">
        <v>292</v>
      </c>
      <c r="B28" s="400"/>
      <c r="C28" s="400"/>
      <c r="D28" s="400"/>
    </row>
    <row r="29" spans="1:14" s="2" customFormat="1" x14ac:dyDescent="0.25">
      <c r="A29" s="303" t="s">
        <v>88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5" t="s">
        <v>14</v>
      </c>
    </row>
    <row r="30" spans="1:14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2" customFormat="1" x14ac:dyDescent="0.25">
      <c r="A31" s="5" t="s">
        <v>15</v>
      </c>
      <c r="B31" s="6">
        <f>64-20</f>
        <v>44</v>
      </c>
      <c r="C31" s="4">
        <v>46</v>
      </c>
      <c r="D31" s="4">
        <v>46</v>
      </c>
      <c r="E31" s="4">
        <v>47</v>
      </c>
      <c r="F31" s="4">
        <v>47</v>
      </c>
      <c r="G31" s="7">
        <v>50</v>
      </c>
      <c r="H31" s="4">
        <v>52</v>
      </c>
      <c r="I31" s="4">
        <v>53</v>
      </c>
      <c r="J31" s="4">
        <v>58</v>
      </c>
      <c r="K31" s="4">
        <v>62</v>
      </c>
      <c r="L31" s="4">
        <v>62</v>
      </c>
      <c r="M31" s="4">
        <v>63</v>
      </c>
      <c r="N31" s="8">
        <f>SUM(B31:M31)/12</f>
        <v>52.5</v>
      </c>
    </row>
    <row r="32" spans="1:14" s="2" customFormat="1" x14ac:dyDescent="0.25">
      <c r="A32" s="5" t="s">
        <v>16</v>
      </c>
      <c r="B32" s="9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>
        <f>SUM(B32:M32)/12</f>
        <v>0</v>
      </c>
    </row>
    <row r="33" spans="1:15" s="2" customFormat="1" x14ac:dyDescent="0.25">
      <c r="A33" s="5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f>SUM(B33:M33)/12</f>
        <v>0</v>
      </c>
    </row>
    <row r="34" spans="1:15" s="2" customFormat="1" x14ac:dyDescent="0.25">
      <c r="A34" s="5"/>
      <c r="B34" s="11"/>
      <c r="C34" s="11"/>
      <c r="D34" s="11"/>
      <c r="E34" s="11"/>
      <c r="F34" s="11"/>
      <c r="G34" s="11"/>
      <c r="H34" s="9"/>
      <c r="I34" s="11"/>
      <c r="J34" s="11"/>
      <c r="K34" s="11"/>
      <c r="L34" s="11"/>
      <c r="M34" s="11"/>
      <c r="N34" s="12"/>
      <c r="O34" s="13"/>
    </row>
    <row r="35" spans="1:15" s="2" customFormat="1" x14ac:dyDescent="0.25">
      <c r="A35" s="3" t="s">
        <v>62</v>
      </c>
      <c r="B35" s="4">
        <f>B31+(B33*1.5)+(B32*0.8)</f>
        <v>44</v>
      </c>
      <c r="C35" s="4">
        <f>C31+(C33*1.5)+(C32*0.8)</f>
        <v>46</v>
      </c>
      <c r="D35" s="4">
        <f>D31+(D33*1.5)+(D32*0.8)</f>
        <v>46</v>
      </c>
      <c r="E35" s="4">
        <f>E31+(E33*1.5)+(E32*0.8)</f>
        <v>47</v>
      </c>
      <c r="F35" s="4">
        <f>F31+(F33*1.5)+(F32*0.8)</f>
        <v>47</v>
      </c>
      <c r="G35" s="4">
        <f t="shared" ref="G35:M35" si="1">G31+(G33*1.5)+(G32*0.8)</f>
        <v>50</v>
      </c>
      <c r="H35" s="4">
        <f t="shared" si="1"/>
        <v>52</v>
      </c>
      <c r="I35" s="4">
        <f t="shared" si="1"/>
        <v>53</v>
      </c>
      <c r="J35" s="4">
        <f t="shared" si="1"/>
        <v>58</v>
      </c>
      <c r="K35" s="4">
        <f t="shared" si="1"/>
        <v>62</v>
      </c>
      <c r="L35" s="4">
        <f t="shared" si="1"/>
        <v>62</v>
      </c>
      <c r="M35" s="4">
        <f t="shared" si="1"/>
        <v>63</v>
      </c>
      <c r="N35" s="10">
        <f>SUM(B35:M35)/12</f>
        <v>52.5</v>
      </c>
    </row>
    <row r="36" spans="1:15" s="2" customFormat="1" x14ac:dyDescent="0.25">
      <c r="A36" s="14" t="s">
        <v>19</v>
      </c>
      <c r="B36" s="15">
        <v>0</v>
      </c>
      <c r="C36" s="16">
        <v>2</v>
      </c>
      <c r="D36" s="16">
        <v>0</v>
      </c>
      <c r="E36" s="16">
        <v>1</v>
      </c>
      <c r="F36" s="16">
        <v>0</v>
      </c>
      <c r="G36" s="16">
        <v>3</v>
      </c>
      <c r="H36" s="16">
        <v>2</v>
      </c>
      <c r="I36" s="16">
        <v>1</v>
      </c>
      <c r="J36" s="16">
        <v>5</v>
      </c>
      <c r="K36" s="16">
        <v>4</v>
      </c>
      <c r="L36" s="16">
        <v>0</v>
      </c>
      <c r="M36" s="16">
        <v>1</v>
      </c>
      <c r="N36" s="17">
        <f>SUM(B36:M36)</f>
        <v>19</v>
      </c>
      <c r="O36" s="16"/>
    </row>
    <row r="37" spans="1:15" x14ac:dyDescent="0.25">
      <c r="B37" t="s">
        <v>179</v>
      </c>
    </row>
    <row r="40" spans="1:15" x14ac:dyDescent="0.25">
      <c r="A40" s="358" t="s">
        <v>279</v>
      </c>
      <c r="B40" s="358"/>
      <c r="C40" s="358"/>
      <c r="D40" s="358"/>
    </row>
    <row r="41" spans="1:15" s="2" customFormat="1" x14ac:dyDescent="0.25">
      <c r="A41" s="303" t="s">
        <v>88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4" t="s">
        <v>12</v>
      </c>
      <c r="M41" s="4" t="s">
        <v>13</v>
      </c>
      <c r="N41" s="5" t="s">
        <v>14</v>
      </c>
    </row>
    <row r="42" spans="1:15" s="2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s="2" customFormat="1" x14ac:dyDescent="0.25">
      <c r="A43" s="5" t="s">
        <v>15</v>
      </c>
      <c r="B43" s="6">
        <f>62-20</f>
        <v>42</v>
      </c>
      <c r="C43" s="4">
        <v>44</v>
      </c>
      <c r="D43" s="4">
        <v>44</v>
      </c>
      <c r="E43" s="4">
        <v>45</v>
      </c>
      <c r="F43" s="4">
        <v>46</v>
      </c>
      <c r="G43" s="7">
        <v>49</v>
      </c>
      <c r="H43" s="4">
        <v>51</v>
      </c>
      <c r="I43" s="4">
        <v>52</v>
      </c>
      <c r="J43" s="4">
        <v>58</v>
      </c>
      <c r="K43" s="4">
        <v>62</v>
      </c>
      <c r="L43" s="4">
        <v>62</v>
      </c>
      <c r="M43" s="4">
        <v>63</v>
      </c>
      <c r="N43" s="8">
        <f>SUM(B43:M43)/12</f>
        <v>51.5</v>
      </c>
    </row>
    <row r="44" spans="1:15" s="2" customFormat="1" x14ac:dyDescent="0.25">
      <c r="A44" s="5" t="s">
        <v>16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10">
        <f>SUM(B44:M44)/12</f>
        <v>1</v>
      </c>
    </row>
    <row r="45" spans="1:15" s="2" customFormat="1" x14ac:dyDescent="0.25">
      <c r="A45" s="5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>
        <f>SUM(B45:M45)/12</f>
        <v>0</v>
      </c>
    </row>
    <row r="46" spans="1:15" s="2" customFormat="1" x14ac:dyDescent="0.25">
      <c r="A46" s="5"/>
      <c r="B46" s="11"/>
      <c r="C46" s="11"/>
      <c r="D46" s="11"/>
      <c r="E46" s="11"/>
      <c r="F46" s="11"/>
      <c r="G46" s="11"/>
      <c r="H46" s="9"/>
      <c r="I46" s="11"/>
      <c r="J46" s="11"/>
      <c r="K46" s="11"/>
      <c r="L46" s="11"/>
      <c r="M46" s="11"/>
      <c r="N46" s="12"/>
      <c r="O46" s="13"/>
    </row>
    <row r="47" spans="1:15" s="2" customFormat="1" x14ac:dyDescent="0.25">
      <c r="A47" s="3" t="s">
        <v>62</v>
      </c>
      <c r="B47" s="4">
        <f>B43+(B45*1.5)+(B44*0.8)</f>
        <v>42.8</v>
      </c>
      <c r="C47" s="4">
        <f>C43+(C45*1.5)+(C44*0.8)</f>
        <v>44.8</v>
      </c>
      <c r="D47" s="4">
        <f>D43+(D45*1.5)+(D44*0.8)</f>
        <v>44.8</v>
      </c>
      <c r="E47" s="4">
        <f>E43+(E45*1.5)+(E44*0.8)</f>
        <v>45.8</v>
      </c>
      <c r="F47" s="4">
        <f>F43+(F45*1.5)+(F44*0.8)</f>
        <v>46.8</v>
      </c>
      <c r="G47" s="4">
        <f t="shared" ref="G47:M47" si="2">G43+(G45*1.5)+(G44*0.8)</f>
        <v>49.8</v>
      </c>
      <c r="H47" s="4">
        <f t="shared" si="2"/>
        <v>51.8</v>
      </c>
      <c r="I47" s="4">
        <f t="shared" si="2"/>
        <v>52.8</v>
      </c>
      <c r="J47" s="4">
        <f t="shared" si="2"/>
        <v>58.8</v>
      </c>
      <c r="K47" s="4">
        <f t="shared" si="2"/>
        <v>62.8</v>
      </c>
      <c r="L47" s="4">
        <f t="shared" si="2"/>
        <v>62.8</v>
      </c>
      <c r="M47" s="4">
        <f t="shared" si="2"/>
        <v>63.8</v>
      </c>
      <c r="N47" s="10">
        <f>SUM(B47:M47)/12</f>
        <v>52.300000000000004</v>
      </c>
    </row>
    <row r="48" spans="1:15" s="2" customFormat="1" x14ac:dyDescent="0.25">
      <c r="A48" s="14" t="s">
        <v>19</v>
      </c>
      <c r="B48" s="15">
        <v>0</v>
      </c>
      <c r="C48" s="16">
        <v>2</v>
      </c>
      <c r="D48" s="16">
        <v>0</v>
      </c>
      <c r="E48" s="16">
        <v>1</v>
      </c>
      <c r="F48" s="16">
        <v>1</v>
      </c>
      <c r="G48" s="16">
        <v>3</v>
      </c>
      <c r="H48" s="16">
        <v>2</v>
      </c>
      <c r="I48" s="16">
        <v>1</v>
      </c>
      <c r="J48" s="16">
        <v>6</v>
      </c>
      <c r="K48" s="16">
        <v>4</v>
      </c>
      <c r="L48" s="16">
        <v>0</v>
      </c>
      <c r="M48" s="16">
        <v>1</v>
      </c>
      <c r="N48" s="17">
        <f>SUM(B48:M48)</f>
        <v>21</v>
      </c>
      <c r="O48" s="16"/>
    </row>
    <row r="49" spans="1:15" x14ac:dyDescent="0.25">
      <c r="B49" t="s">
        <v>179</v>
      </c>
    </row>
    <row r="51" spans="1:15" x14ac:dyDescent="0.25">
      <c r="A51" s="399" t="s">
        <v>280</v>
      </c>
      <c r="B51" s="399"/>
      <c r="C51" s="399"/>
      <c r="D51" s="399"/>
    </row>
    <row r="52" spans="1:15" s="2" customFormat="1" x14ac:dyDescent="0.25">
      <c r="A52" s="303" t="s">
        <v>88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5" t="s">
        <v>14</v>
      </c>
    </row>
    <row r="53" spans="1:15" s="2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5" s="2" customFormat="1" x14ac:dyDescent="0.25">
      <c r="A54" s="5" t="s">
        <v>15</v>
      </c>
      <c r="B54" s="6">
        <f>63-16+3</f>
        <v>50</v>
      </c>
      <c r="C54" s="4">
        <v>51</v>
      </c>
      <c r="D54" s="4">
        <v>55</v>
      </c>
      <c r="E54" s="4">
        <v>56</v>
      </c>
      <c r="F54" s="4">
        <v>60</v>
      </c>
      <c r="G54" s="7">
        <v>61</v>
      </c>
      <c r="H54" s="4">
        <v>64</v>
      </c>
      <c r="I54" s="4">
        <v>64</v>
      </c>
      <c r="J54" s="4">
        <v>65</v>
      </c>
      <c r="K54" s="4">
        <v>67</v>
      </c>
      <c r="L54" s="4">
        <v>69</v>
      </c>
      <c r="M54" s="4">
        <v>70</v>
      </c>
      <c r="N54" s="8">
        <f>SUM(B54:M54)/12</f>
        <v>61</v>
      </c>
    </row>
    <row r="55" spans="1:15" s="2" customFormat="1" x14ac:dyDescent="0.25">
      <c r="A55" s="5" t="s">
        <v>16</v>
      </c>
      <c r="B55" s="9">
        <v>1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10">
        <f>SUM(B55:M55)/12</f>
        <v>1</v>
      </c>
    </row>
    <row r="56" spans="1:15" s="2" customFormat="1" x14ac:dyDescent="0.25">
      <c r="A56" s="5" t="s">
        <v>17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0">
        <f>SUM(B56:M56)/12</f>
        <v>0</v>
      </c>
    </row>
    <row r="57" spans="1:15" s="2" customFormat="1" x14ac:dyDescent="0.25">
      <c r="A57" s="5"/>
      <c r="B57" s="11"/>
      <c r="C57" s="11"/>
      <c r="D57" s="11"/>
      <c r="E57" s="11"/>
      <c r="F57" s="11"/>
      <c r="G57" s="11"/>
      <c r="H57" s="9"/>
      <c r="I57" s="11"/>
      <c r="J57" s="11"/>
      <c r="K57" s="11"/>
      <c r="L57" s="11"/>
      <c r="M57" s="11"/>
      <c r="N57" s="12"/>
      <c r="O57" s="13"/>
    </row>
    <row r="58" spans="1:15" s="2" customFormat="1" x14ac:dyDescent="0.25">
      <c r="A58" s="3" t="s">
        <v>62</v>
      </c>
      <c r="B58" s="4">
        <f>B54+(B56*1.5)+(B55*0.8)</f>
        <v>50.8</v>
      </c>
      <c r="C58" s="4">
        <f>C54+(C56*1.5)+(C55*0.8)</f>
        <v>51.8</v>
      </c>
      <c r="D58" s="4">
        <f>D54+(D56*1.5)+(D55*0.8)</f>
        <v>55.8</v>
      </c>
      <c r="E58" s="4">
        <f>E54+(E56*1.5)+(E55*0.8)</f>
        <v>56.8</v>
      </c>
      <c r="F58" s="4">
        <f>F54+(F56*1.5)+(F55*0.8)</f>
        <v>60.8</v>
      </c>
      <c r="G58" s="4">
        <f t="shared" ref="G58:M58" si="3">G54+(G56*1.5)+(G55*0.8)</f>
        <v>61.8</v>
      </c>
      <c r="H58" s="4">
        <f t="shared" si="3"/>
        <v>64.8</v>
      </c>
      <c r="I58" s="4">
        <f t="shared" si="3"/>
        <v>64.8</v>
      </c>
      <c r="J58" s="4">
        <f t="shared" si="3"/>
        <v>65.8</v>
      </c>
      <c r="K58" s="4">
        <f t="shared" si="3"/>
        <v>67.8</v>
      </c>
      <c r="L58" s="4">
        <f t="shared" si="3"/>
        <v>69.8</v>
      </c>
      <c r="M58" s="4">
        <f t="shared" si="3"/>
        <v>70.8</v>
      </c>
      <c r="N58" s="10">
        <f>SUM(B58:M58)/12</f>
        <v>61.79999999999999</v>
      </c>
    </row>
    <row r="59" spans="1:15" s="2" customFormat="1" x14ac:dyDescent="0.25">
      <c r="A59" s="14" t="s">
        <v>19</v>
      </c>
      <c r="B59" s="15">
        <v>3</v>
      </c>
      <c r="C59" s="16">
        <v>1</v>
      </c>
      <c r="D59" s="16">
        <v>4</v>
      </c>
      <c r="E59" s="16">
        <v>1</v>
      </c>
      <c r="F59" s="16">
        <v>4</v>
      </c>
      <c r="G59" s="16">
        <v>1</v>
      </c>
      <c r="H59" s="16">
        <v>3</v>
      </c>
      <c r="I59" s="16">
        <v>0</v>
      </c>
      <c r="J59" s="16">
        <v>1</v>
      </c>
      <c r="K59" s="16">
        <v>2</v>
      </c>
      <c r="L59" s="16">
        <v>2</v>
      </c>
      <c r="M59" s="16">
        <v>1</v>
      </c>
      <c r="N59" s="17">
        <f>SUM(B59:M59)</f>
        <v>23</v>
      </c>
      <c r="O59" s="16"/>
    </row>
    <row r="60" spans="1:15" x14ac:dyDescent="0.25">
      <c r="B60" t="s">
        <v>282</v>
      </c>
    </row>
    <row r="61" spans="1:15" x14ac:dyDescent="0.25">
      <c r="B61" t="s">
        <v>284</v>
      </c>
    </row>
    <row r="63" spans="1:15" x14ac:dyDescent="0.25">
      <c r="A63" s="392" t="s">
        <v>281</v>
      </c>
      <c r="B63" s="392"/>
      <c r="C63" s="392"/>
      <c r="D63" s="392"/>
    </row>
    <row r="64" spans="1:15" s="2" customFormat="1" x14ac:dyDescent="0.25">
      <c r="A64" s="303" t="s">
        <v>88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4" t="s">
        <v>11</v>
      </c>
      <c r="L64" s="4" t="s">
        <v>12</v>
      </c>
      <c r="M64" s="4" t="s">
        <v>13</v>
      </c>
      <c r="N64" s="5" t="s">
        <v>14</v>
      </c>
    </row>
    <row r="65" spans="1:15" s="2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5" s="2" customFormat="1" x14ac:dyDescent="0.25">
      <c r="A66" s="5" t="s">
        <v>15</v>
      </c>
      <c r="B66" s="6">
        <f>70-16+1</f>
        <v>55</v>
      </c>
      <c r="C66" s="4">
        <v>58</v>
      </c>
      <c r="D66" s="4">
        <v>60</v>
      </c>
      <c r="E66" s="4">
        <v>61</v>
      </c>
      <c r="F66" s="4">
        <v>63</v>
      </c>
      <c r="G66" s="7">
        <v>63</v>
      </c>
      <c r="H66" s="4">
        <v>63</v>
      </c>
      <c r="I66" s="4">
        <v>63</v>
      </c>
      <c r="J66" s="4">
        <v>63</v>
      </c>
      <c r="K66" s="4">
        <v>63</v>
      </c>
      <c r="L66" s="4">
        <v>63</v>
      </c>
      <c r="M66" s="4">
        <v>63</v>
      </c>
      <c r="N66" s="8">
        <f>SUM(B66:M66)/12</f>
        <v>61.5</v>
      </c>
    </row>
    <row r="67" spans="1:15" s="2" customFormat="1" x14ac:dyDescent="0.25">
      <c r="A67" s="5" t="s">
        <v>16</v>
      </c>
      <c r="B67" s="9">
        <f>1-1</f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f>SUM(B67:M67)/12</f>
        <v>0</v>
      </c>
    </row>
    <row r="68" spans="1:15" s="2" customFormat="1" x14ac:dyDescent="0.25">
      <c r="A68" s="5" t="s">
        <v>17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>
        <f>SUM(B68:M68)/12</f>
        <v>0</v>
      </c>
    </row>
    <row r="69" spans="1:15" s="2" customFormat="1" x14ac:dyDescent="0.25">
      <c r="A69" s="5"/>
      <c r="B69" s="11"/>
      <c r="C69" s="11"/>
      <c r="D69" s="11"/>
      <c r="E69" s="11"/>
      <c r="F69" s="11"/>
      <c r="G69" s="11"/>
      <c r="H69" s="9"/>
      <c r="I69" s="11"/>
      <c r="J69" s="11"/>
      <c r="K69" s="11"/>
      <c r="L69" s="11"/>
      <c r="M69" s="11"/>
      <c r="N69" s="12"/>
      <c r="O69" s="13"/>
    </row>
    <row r="70" spans="1:15" s="2" customFormat="1" x14ac:dyDescent="0.25">
      <c r="A70" s="3" t="s">
        <v>62</v>
      </c>
      <c r="B70" s="4">
        <f>B66+(B68*1.5)+(B67*0.8)</f>
        <v>55</v>
      </c>
      <c r="C70" s="4">
        <f>C66+(C68*1.5)+(C67*0.8)</f>
        <v>58</v>
      </c>
      <c r="D70" s="4">
        <f>D66+(D68*1.5)+(D67*0.8)</f>
        <v>60</v>
      </c>
      <c r="E70" s="4">
        <f>E66+(E68*1.5)+(E67*0.8)</f>
        <v>61</v>
      </c>
      <c r="F70" s="4">
        <f>F66+(F68*1.5)+(F67*0.8)</f>
        <v>63</v>
      </c>
      <c r="G70" s="4">
        <f t="shared" ref="G70:M70" si="4">G66+(G68*1.5)+(G67*0.8)</f>
        <v>63</v>
      </c>
      <c r="H70" s="4">
        <f t="shared" si="4"/>
        <v>63</v>
      </c>
      <c r="I70" s="4">
        <f t="shared" si="4"/>
        <v>63</v>
      </c>
      <c r="J70" s="4">
        <f t="shared" si="4"/>
        <v>63</v>
      </c>
      <c r="K70" s="4">
        <f t="shared" si="4"/>
        <v>63</v>
      </c>
      <c r="L70" s="4">
        <f t="shared" si="4"/>
        <v>63</v>
      </c>
      <c r="M70" s="4">
        <f t="shared" si="4"/>
        <v>63</v>
      </c>
      <c r="N70" s="10">
        <f>SUM(B70:M70)/12</f>
        <v>61.5</v>
      </c>
    </row>
    <row r="71" spans="1:15" s="2" customFormat="1" x14ac:dyDescent="0.25">
      <c r="A71" s="14" t="s">
        <v>19</v>
      </c>
      <c r="B71" s="15">
        <v>1</v>
      </c>
      <c r="C71" s="16">
        <v>3</v>
      </c>
      <c r="D71" s="16">
        <v>2</v>
      </c>
      <c r="E71" s="16">
        <v>1</v>
      </c>
      <c r="F71" s="16">
        <v>2</v>
      </c>
      <c r="G71" s="16">
        <v>0</v>
      </c>
      <c r="H71" s="16">
        <v>0</v>
      </c>
      <c r="I71" s="16">
        <v>0</v>
      </c>
      <c r="J71" s="16">
        <v>0</v>
      </c>
      <c r="K71" s="394" t="s">
        <v>286</v>
      </c>
      <c r="L71" s="394"/>
      <c r="M71" s="394"/>
      <c r="N71" s="17">
        <f>SUM(B71:M71)</f>
        <v>9</v>
      </c>
      <c r="O71" s="16"/>
    </row>
    <row r="72" spans="1:15" x14ac:dyDescent="0.25">
      <c r="B72" t="s">
        <v>161</v>
      </c>
    </row>
    <row r="73" spans="1:15" x14ac:dyDescent="0.25">
      <c r="B73" t="s">
        <v>283</v>
      </c>
    </row>
    <row r="74" spans="1:15" x14ac:dyDescent="0.25">
      <c r="B74" t="s">
        <v>285</v>
      </c>
    </row>
    <row r="76" spans="1:15" x14ac:dyDescent="0.25">
      <c r="A76" s="358" t="s">
        <v>160</v>
      </c>
      <c r="B76" s="358"/>
      <c r="C76" s="358"/>
      <c r="D76" s="358"/>
    </row>
    <row r="77" spans="1:15" s="2" customFormat="1" x14ac:dyDescent="0.25">
      <c r="A77" s="303" t="s">
        <v>88</v>
      </c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10</v>
      </c>
      <c r="K77" s="4" t="s">
        <v>11</v>
      </c>
      <c r="L77" s="4" t="s">
        <v>12</v>
      </c>
      <c r="M77" s="4" t="s">
        <v>13</v>
      </c>
      <c r="N77" s="5" t="s">
        <v>14</v>
      </c>
    </row>
    <row r="78" spans="1:15" s="2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5" s="2" customFormat="1" x14ac:dyDescent="0.25">
      <c r="A79" s="5" t="s">
        <v>15</v>
      </c>
      <c r="B79" s="6">
        <f>63-19</f>
        <v>44</v>
      </c>
      <c r="C79" s="4">
        <v>46</v>
      </c>
      <c r="D79" s="4">
        <v>46</v>
      </c>
      <c r="E79" s="4">
        <v>47</v>
      </c>
      <c r="F79" s="4">
        <v>48</v>
      </c>
      <c r="G79" s="7">
        <v>51</v>
      </c>
      <c r="H79" s="4">
        <v>53</v>
      </c>
      <c r="I79" s="4">
        <v>54</v>
      </c>
      <c r="J79" s="4">
        <v>60</v>
      </c>
      <c r="K79" s="4">
        <v>64</v>
      </c>
      <c r="L79" s="4">
        <v>64</v>
      </c>
      <c r="M79" s="4">
        <v>65</v>
      </c>
      <c r="N79" s="8">
        <f>SUM(B79:M79)/12</f>
        <v>53.5</v>
      </c>
    </row>
    <row r="80" spans="1:15" s="2" customFormat="1" x14ac:dyDescent="0.25">
      <c r="A80" s="5" t="s">
        <v>16</v>
      </c>
      <c r="B80" s="9">
        <f>1-1</f>
        <v>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0">
        <f>SUM(B80:M80)/12</f>
        <v>0</v>
      </c>
    </row>
    <row r="81" spans="1:15" s="2" customFormat="1" x14ac:dyDescent="0.25">
      <c r="A81" s="5" t="s">
        <v>17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0">
        <f>SUM(B81:M81)/12</f>
        <v>0</v>
      </c>
    </row>
    <row r="82" spans="1:15" s="2" customFormat="1" x14ac:dyDescent="0.25">
      <c r="A82" s="5"/>
      <c r="B82" s="11"/>
      <c r="C82" s="11"/>
      <c r="D82" s="11"/>
      <c r="E82" s="11"/>
      <c r="F82" s="11"/>
      <c r="G82" s="11"/>
      <c r="H82" s="9"/>
      <c r="I82" s="11"/>
      <c r="J82" s="11"/>
      <c r="K82" s="11"/>
      <c r="L82" s="11"/>
      <c r="M82" s="11"/>
      <c r="N82" s="12"/>
      <c r="O82" s="13"/>
    </row>
    <row r="83" spans="1:15" s="2" customFormat="1" x14ac:dyDescent="0.25">
      <c r="A83" s="3" t="s">
        <v>62</v>
      </c>
      <c r="B83" s="4">
        <f>B79+(B81*1.5)+(B80*0.8)</f>
        <v>44</v>
      </c>
      <c r="C83" s="4">
        <f>C79+(C81*1.5)+(C80*0.8)</f>
        <v>46</v>
      </c>
      <c r="D83" s="4">
        <f>D79+(D81*1.5)+(D80*0.8)</f>
        <v>46</v>
      </c>
      <c r="E83" s="4">
        <f>E79+(E81*1.5)+(E80*0.8)</f>
        <v>47</v>
      </c>
      <c r="F83" s="4">
        <f>F79+(F81*1.5)+(F80*0.8)</f>
        <v>48</v>
      </c>
      <c r="G83" s="4">
        <f t="shared" ref="G83:M83" si="5">G79+(G81*1.5)+(G80*0.8)</f>
        <v>51</v>
      </c>
      <c r="H83" s="4">
        <f t="shared" si="5"/>
        <v>53</v>
      </c>
      <c r="I83" s="4">
        <f t="shared" si="5"/>
        <v>54</v>
      </c>
      <c r="J83" s="4">
        <f t="shared" si="5"/>
        <v>60</v>
      </c>
      <c r="K83" s="4">
        <f t="shared" si="5"/>
        <v>64</v>
      </c>
      <c r="L83" s="4">
        <f t="shared" si="5"/>
        <v>64</v>
      </c>
      <c r="M83" s="4">
        <f t="shared" si="5"/>
        <v>65</v>
      </c>
      <c r="N83" s="10">
        <f>SUM(B83:M83)/12</f>
        <v>53.5</v>
      </c>
    </row>
    <row r="84" spans="1:15" s="2" customFormat="1" x14ac:dyDescent="0.25">
      <c r="A84" s="14" t="s">
        <v>19</v>
      </c>
      <c r="B84" s="15">
        <v>0</v>
      </c>
      <c r="C84" s="16">
        <v>2</v>
      </c>
      <c r="D84" s="16">
        <v>0</v>
      </c>
      <c r="E84" s="16">
        <v>1</v>
      </c>
      <c r="F84" s="16">
        <v>1</v>
      </c>
      <c r="G84" s="16">
        <v>3</v>
      </c>
      <c r="H84" s="16">
        <v>2</v>
      </c>
      <c r="I84" s="16">
        <v>1</v>
      </c>
      <c r="J84" s="16">
        <v>6</v>
      </c>
      <c r="K84" s="16">
        <v>4</v>
      </c>
      <c r="L84" s="16">
        <v>0</v>
      </c>
      <c r="M84" s="16">
        <v>1</v>
      </c>
      <c r="N84" s="17">
        <f>SUM(B84:M84)</f>
        <v>21</v>
      </c>
      <c r="O84" s="16"/>
    </row>
    <row r="85" spans="1:15" x14ac:dyDescent="0.25">
      <c r="B85" t="s">
        <v>179</v>
      </c>
    </row>
    <row r="86" spans="1:15" x14ac:dyDescent="0.25">
      <c r="B86" t="s">
        <v>70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abSelected="1" workbookViewId="0">
      <selection activeCell="K19" sqref="K19"/>
    </sheetView>
  </sheetViews>
  <sheetFormatPr defaultRowHeight="15" x14ac:dyDescent="0.25"/>
  <sheetData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84"/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5" x14ac:dyDescent="0.25">
      <c r="A5" s="86" t="s">
        <v>15</v>
      </c>
      <c r="B5" s="32">
        <f>128+3+0.5+0.5</f>
        <v>132</v>
      </c>
      <c r="C5" s="58">
        <f>133+4+0.25</f>
        <v>137.25</v>
      </c>
      <c r="D5" s="58">
        <f>138+3+0.5</f>
        <v>141.5</v>
      </c>
      <c r="E5" s="58">
        <f>142-0.5+2</f>
        <v>143.5</v>
      </c>
      <c r="F5" s="58">
        <f>144+5+0.5-0.5</f>
        <v>149</v>
      </c>
      <c r="G5" s="386">
        <f>149-1+2</f>
        <v>150</v>
      </c>
      <c r="H5" s="58">
        <f>151+4</f>
        <v>155</v>
      </c>
      <c r="I5" s="58">
        <f>155+8-0.5</f>
        <v>162.5</v>
      </c>
      <c r="J5" s="58">
        <f>162+4+0.25-0.5</f>
        <v>165.75</v>
      </c>
      <c r="K5" s="58">
        <f>166-(53*0.5)+5+0.5+0.5</f>
        <v>145.5</v>
      </c>
      <c r="L5" s="41">
        <f>166+7-53+1</f>
        <v>121</v>
      </c>
      <c r="M5" s="4">
        <f>121+6+0.25</f>
        <v>127.25</v>
      </c>
      <c r="N5" s="8">
        <f>SUM(B5:M5)/12</f>
        <v>144.1875</v>
      </c>
      <c r="O5" s="66"/>
    </row>
    <row r="6" spans="1:15" x14ac:dyDescent="0.25">
      <c r="A6" s="86" t="s">
        <v>16</v>
      </c>
      <c r="B6" s="33">
        <v>2</v>
      </c>
      <c r="C6" s="33">
        <v>2</v>
      </c>
      <c r="D6" s="33">
        <v>2</v>
      </c>
      <c r="E6" s="33">
        <v>2</v>
      </c>
      <c r="F6" s="33">
        <v>2</v>
      </c>
      <c r="G6" s="33">
        <v>2</v>
      </c>
      <c r="H6" s="33">
        <f>1-0.5+0.5</f>
        <v>1</v>
      </c>
      <c r="I6" s="33">
        <v>3</v>
      </c>
      <c r="J6" s="33">
        <v>3</v>
      </c>
      <c r="K6" s="33">
        <f>3- 0.5-0.5</f>
        <v>2</v>
      </c>
      <c r="L6" s="43">
        <f>3-2</f>
        <v>1</v>
      </c>
      <c r="M6" s="9">
        <v>1</v>
      </c>
      <c r="N6" s="10">
        <f>SUM(B6:M6)/12</f>
        <v>1.9166666666666667</v>
      </c>
      <c r="O6" s="66"/>
    </row>
    <row r="7" spans="1:15" x14ac:dyDescent="0.25">
      <c r="A7" s="86" t="s">
        <v>17</v>
      </c>
      <c r="B7" s="34"/>
      <c r="C7" s="34"/>
      <c r="D7" s="34">
        <v>0.5</v>
      </c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4.1666666666666664E-2</v>
      </c>
      <c r="O7" s="66"/>
    </row>
    <row r="8" spans="1:15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15" x14ac:dyDescent="0.25">
      <c r="A9" s="84" t="s">
        <v>18</v>
      </c>
      <c r="B9" s="4">
        <f>B5+(B7*1.5)+(B6*0.8)</f>
        <v>133.6</v>
      </c>
      <c r="C9" s="4">
        <f>C5+(C7*1.5)+(C6*0.8)</f>
        <v>138.85</v>
      </c>
      <c r="D9" s="4">
        <f>D5+(D7*1.5)+(D6*0.8)</f>
        <v>143.85</v>
      </c>
      <c r="E9" s="4">
        <f>E5+(E7*1.5)+(E6*0.8)</f>
        <v>145.1</v>
      </c>
      <c r="F9" s="4">
        <f>F5+(F7*1.5)+(F6*0.8)</f>
        <v>150.6</v>
      </c>
      <c r="G9" s="4">
        <f t="shared" ref="G9:M9" si="0">G5+(G7*1.5)+(G6*0.8)</f>
        <v>151.6</v>
      </c>
      <c r="H9" s="4">
        <f t="shared" si="0"/>
        <v>155.80000000000001</v>
      </c>
      <c r="I9" s="4">
        <f t="shared" si="0"/>
        <v>164.9</v>
      </c>
      <c r="J9" s="4">
        <f t="shared" si="0"/>
        <v>168.15</v>
      </c>
      <c r="K9" s="4">
        <f t="shared" si="0"/>
        <v>147.1</v>
      </c>
      <c r="L9" s="4">
        <f t="shared" si="0"/>
        <v>121.8</v>
      </c>
      <c r="M9" s="4">
        <f t="shared" si="0"/>
        <v>128.05000000000001</v>
      </c>
      <c r="N9" s="10">
        <f>SUM(B9:M9)/12</f>
        <v>145.78333333333333</v>
      </c>
      <c r="O9" s="66"/>
    </row>
    <row r="10" spans="1:15" x14ac:dyDescent="0.25">
      <c r="A10" s="292" t="s">
        <v>107</v>
      </c>
      <c r="B10" s="293">
        <v>11.5</v>
      </c>
      <c r="C10" s="293">
        <v>12</v>
      </c>
      <c r="D10" s="293">
        <v>12</v>
      </c>
      <c r="E10" s="293">
        <v>12</v>
      </c>
      <c r="F10" s="293">
        <v>12</v>
      </c>
      <c r="G10" s="293">
        <v>12</v>
      </c>
      <c r="H10" s="293">
        <v>12</v>
      </c>
      <c r="I10" s="293">
        <v>12</v>
      </c>
      <c r="J10" s="293">
        <f>11+1</f>
        <v>12</v>
      </c>
      <c r="K10" s="293">
        <f>12+0.5</f>
        <v>12.5</v>
      </c>
      <c r="L10" s="293">
        <v>13</v>
      </c>
      <c r="M10" s="293">
        <f>13-3+1</f>
        <v>11</v>
      </c>
      <c r="N10" s="294">
        <f>SUM(B10+C10+D10+E10+F10+G10+H10+I10+J10+K10+L10+M10)/12</f>
        <v>12</v>
      </c>
      <c r="O10" s="299"/>
    </row>
    <row r="11" spans="1:15" x14ac:dyDescent="0.25">
      <c r="A11" s="292" t="s">
        <v>108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4"/>
      <c r="O11" s="299"/>
    </row>
    <row r="13" spans="1:15" x14ac:dyDescent="0.25">
      <c r="A13" s="383" t="s">
        <v>189</v>
      </c>
      <c r="B13" s="383">
        <v>5</v>
      </c>
      <c r="C13" s="384">
        <v>5</v>
      </c>
      <c r="D13" s="384">
        <v>4</v>
      </c>
      <c r="E13" s="384">
        <v>2</v>
      </c>
      <c r="F13" s="384">
        <v>6</v>
      </c>
      <c r="G13" s="384">
        <v>2</v>
      </c>
      <c r="H13" s="384">
        <v>6</v>
      </c>
      <c r="I13" s="384">
        <v>8</v>
      </c>
      <c r="J13" s="384">
        <v>5</v>
      </c>
      <c r="K13" s="384">
        <v>7</v>
      </c>
      <c r="L13" s="384">
        <v>1</v>
      </c>
      <c r="M13" s="384">
        <v>7</v>
      </c>
      <c r="N13" s="109">
        <f>SUM(B13:M13)</f>
        <v>58</v>
      </c>
      <c r="O13" s="66"/>
    </row>
    <row r="14" spans="1:15" x14ac:dyDescent="0.25">
      <c r="A14" s="390"/>
      <c r="B14" s="383" t="s">
        <v>202</v>
      </c>
      <c r="C14" s="384" t="s">
        <v>203</v>
      </c>
      <c r="D14" s="384" t="s">
        <v>204</v>
      </c>
      <c r="E14" s="384" t="s">
        <v>205</v>
      </c>
      <c r="F14" s="384" t="s">
        <v>206</v>
      </c>
      <c r="G14" s="384"/>
      <c r="H14" s="384" t="s">
        <v>312</v>
      </c>
      <c r="I14" s="384" t="s">
        <v>287</v>
      </c>
      <c r="J14" s="410" t="s">
        <v>300</v>
      </c>
      <c r="K14" s="410" t="s">
        <v>315</v>
      </c>
      <c r="M14" s="384" t="s">
        <v>316</v>
      </c>
      <c r="N14" s="109"/>
      <c r="O14" s="93"/>
    </row>
    <row r="15" spans="1:15" x14ac:dyDescent="0.25">
      <c r="H15" s="112" t="s">
        <v>313</v>
      </c>
      <c r="J15" s="408" t="s">
        <v>311</v>
      </c>
      <c r="K15" s="407" t="s">
        <v>207</v>
      </c>
      <c r="L15" s="391"/>
    </row>
    <row r="16" spans="1:15" x14ac:dyDescent="0.25">
      <c r="H16" s="112"/>
      <c r="J16" s="408"/>
      <c r="K16" s="112" t="s">
        <v>314</v>
      </c>
    </row>
    <row r="17" spans="1:15" x14ac:dyDescent="0.25">
      <c r="A17" s="295" t="s">
        <v>97</v>
      </c>
      <c r="B17" s="295">
        <v>1</v>
      </c>
      <c r="C17" s="295"/>
      <c r="D17" s="295"/>
      <c r="E17" s="295"/>
      <c r="F17" s="295"/>
      <c r="G17" s="295"/>
      <c r="H17" s="409"/>
      <c r="I17" s="295">
        <v>1</v>
      </c>
      <c r="J17" s="295">
        <v>1</v>
      </c>
      <c r="K17" s="295" t="s">
        <v>323</v>
      </c>
      <c r="L17" s="295"/>
      <c r="M17" s="295">
        <v>1</v>
      </c>
      <c r="N17" s="295"/>
    </row>
    <row r="18" spans="1:15" x14ac:dyDescent="0.25">
      <c r="A18" s="295"/>
      <c r="B18" s="295"/>
      <c r="C18" s="295"/>
      <c r="D18" s="295"/>
      <c r="E18" s="295"/>
      <c r="F18" s="295"/>
      <c r="G18" s="295"/>
      <c r="H18" s="295"/>
      <c r="I18" s="295" t="s">
        <v>99</v>
      </c>
      <c r="J18" s="295" t="s">
        <v>65</v>
      </c>
      <c r="K18" s="295" t="s">
        <v>101</v>
      </c>
      <c r="L18" s="295"/>
      <c r="M18" s="295" t="s">
        <v>225</v>
      </c>
      <c r="N18" s="295"/>
    </row>
    <row r="19" spans="1:15" x14ac:dyDescent="0.25">
      <c r="A19" s="91"/>
      <c r="B19" s="10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0"/>
      <c r="O19" s="93"/>
    </row>
    <row r="21" spans="1:15" x14ac:dyDescent="0.25">
      <c r="A21" s="297" t="s">
        <v>0</v>
      </c>
      <c r="B21" s="291"/>
      <c r="C21" s="291"/>
      <c r="D21" s="291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</row>
    <row r="22" spans="1:15" x14ac:dyDescent="0.25">
      <c r="A22" s="279" t="s">
        <v>106</v>
      </c>
      <c r="B22" s="280" t="s">
        <v>2</v>
      </c>
      <c r="C22" s="280" t="s">
        <v>3</v>
      </c>
      <c r="D22" s="280" t="s">
        <v>4</v>
      </c>
      <c r="E22" s="280" t="s">
        <v>5</v>
      </c>
      <c r="F22" s="280" t="s">
        <v>6</v>
      </c>
      <c r="G22" s="280" t="s">
        <v>7</v>
      </c>
      <c r="H22" s="280" t="s">
        <v>8</v>
      </c>
      <c r="I22" s="280" t="s">
        <v>9</v>
      </c>
      <c r="J22" s="280" t="s">
        <v>10</v>
      </c>
      <c r="K22" s="280" t="s">
        <v>11</v>
      </c>
      <c r="L22" s="280" t="s">
        <v>12</v>
      </c>
      <c r="M22" s="280" t="s">
        <v>13</v>
      </c>
      <c r="N22" s="281" t="s">
        <v>14</v>
      </c>
      <c r="O22" s="274"/>
    </row>
    <row r="23" spans="1:15" x14ac:dyDescent="0.2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74"/>
    </row>
    <row r="24" spans="1:15" x14ac:dyDescent="0.25">
      <c r="A24" s="281" t="s">
        <v>15</v>
      </c>
      <c r="B24" s="287">
        <v>134</v>
      </c>
      <c r="C24" s="280">
        <v>138</v>
      </c>
      <c r="D24" s="280">
        <v>140</v>
      </c>
      <c r="E24" s="280">
        <v>141</v>
      </c>
      <c r="F24" s="280">
        <v>147</v>
      </c>
      <c r="G24" s="288">
        <v>150</v>
      </c>
      <c r="H24" s="280">
        <v>152</v>
      </c>
      <c r="I24" s="280">
        <v>155</v>
      </c>
      <c r="J24" s="280">
        <v>163</v>
      </c>
      <c r="K24" s="280">
        <v>143</v>
      </c>
      <c r="L24" s="280">
        <v>120</v>
      </c>
      <c r="M24" s="280">
        <v>128</v>
      </c>
      <c r="N24" s="282">
        <v>142.58333333333334</v>
      </c>
      <c r="O24" s="274"/>
    </row>
    <row r="25" spans="1:15" x14ac:dyDescent="0.25">
      <c r="A25" s="281" t="s">
        <v>16</v>
      </c>
      <c r="B25" s="283">
        <v>1</v>
      </c>
      <c r="C25" s="283">
        <v>1</v>
      </c>
      <c r="D25" s="283">
        <v>1</v>
      </c>
      <c r="E25" s="283">
        <v>1</v>
      </c>
      <c r="F25" s="283">
        <v>1</v>
      </c>
      <c r="G25" s="283">
        <v>1</v>
      </c>
      <c r="H25" s="283">
        <v>1</v>
      </c>
      <c r="I25" s="283">
        <v>1</v>
      </c>
      <c r="J25" s="283">
        <v>1</v>
      </c>
      <c r="K25" s="283">
        <v>0.5</v>
      </c>
      <c r="L25" s="283">
        <v>0</v>
      </c>
      <c r="M25" s="283">
        <v>0</v>
      </c>
      <c r="N25" s="284">
        <v>0.79166666666666663</v>
      </c>
      <c r="O25" s="274"/>
    </row>
    <row r="26" spans="1:15" x14ac:dyDescent="0.25">
      <c r="A26" s="281" t="s">
        <v>17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4">
        <v>0</v>
      </c>
      <c r="O26" s="274"/>
    </row>
    <row r="27" spans="1:15" x14ac:dyDescent="0.25">
      <c r="A27" s="281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4"/>
      <c r="O27" s="274"/>
    </row>
    <row r="28" spans="1:15" x14ac:dyDescent="0.25">
      <c r="A28" s="292" t="s">
        <v>107</v>
      </c>
      <c r="B28" s="293">
        <v>11.5</v>
      </c>
      <c r="C28" s="293">
        <v>12</v>
      </c>
      <c r="D28" s="293">
        <v>12</v>
      </c>
      <c r="E28" s="293">
        <v>12</v>
      </c>
      <c r="F28" s="293">
        <v>12</v>
      </c>
      <c r="G28" s="293">
        <v>12</v>
      </c>
      <c r="H28" s="293">
        <v>12</v>
      </c>
      <c r="I28" s="293">
        <v>11</v>
      </c>
      <c r="J28" s="293">
        <v>10</v>
      </c>
      <c r="K28" s="293">
        <v>9</v>
      </c>
      <c r="L28" s="293">
        <v>9</v>
      </c>
      <c r="M28" s="293">
        <v>7</v>
      </c>
      <c r="N28" s="294">
        <v>10.791666666666666</v>
      </c>
      <c r="O28" s="274"/>
    </row>
    <row r="29" spans="1:15" x14ac:dyDescent="0.25">
      <c r="A29" s="292" t="s">
        <v>108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4"/>
      <c r="O29" s="274"/>
    </row>
    <row r="30" spans="1:15" x14ac:dyDescent="0.25">
      <c r="A30" s="281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4"/>
      <c r="O30" s="274"/>
    </row>
    <row r="31" spans="1:15" x14ac:dyDescent="0.25">
      <c r="A31" s="281"/>
      <c r="B31" s="285"/>
      <c r="C31" s="285"/>
      <c r="D31" s="285"/>
      <c r="E31" s="285"/>
      <c r="F31" s="285"/>
      <c r="G31" s="285"/>
      <c r="H31" s="283"/>
      <c r="I31" s="285"/>
      <c r="J31" s="285"/>
      <c r="K31" s="285"/>
      <c r="L31" s="285"/>
      <c r="M31" s="285"/>
      <c r="N31" s="286"/>
      <c r="O31" s="275"/>
    </row>
    <row r="32" spans="1:15" x14ac:dyDescent="0.25">
      <c r="A32" s="279" t="s">
        <v>18</v>
      </c>
      <c r="B32" s="280">
        <v>134.80000000000001</v>
      </c>
      <c r="C32" s="280">
        <v>138.80000000000001</v>
      </c>
      <c r="D32" s="280">
        <v>140.80000000000001</v>
      </c>
      <c r="E32" s="280">
        <v>141.80000000000001</v>
      </c>
      <c r="F32" s="280">
        <v>147.80000000000001</v>
      </c>
      <c r="G32" s="280">
        <v>150.80000000000001</v>
      </c>
      <c r="H32" s="280">
        <v>152.80000000000001</v>
      </c>
      <c r="I32" s="280">
        <v>155.80000000000001</v>
      </c>
      <c r="J32" s="280">
        <v>163.80000000000001</v>
      </c>
      <c r="K32" s="280">
        <v>143.4</v>
      </c>
      <c r="L32" s="280">
        <v>120</v>
      </c>
      <c r="M32" s="280">
        <v>128</v>
      </c>
      <c r="N32" s="284">
        <v>143.21666666666667</v>
      </c>
    </row>
    <row r="33" spans="1:15" x14ac:dyDescent="0.25">
      <c r="A33" s="289" t="s">
        <v>19</v>
      </c>
      <c r="B33" s="278">
        <v>3</v>
      </c>
      <c r="C33" s="277">
        <v>4</v>
      </c>
      <c r="D33" s="277">
        <v>2</v>
      </c>
      <c r="E33" s="277">
        <v>1</v>
      </c>
      <c r="F33" s="277">
        <v>6</v>
      </c>
      <c r="G33" s="277">
        <v>3</v>
      </c>
      <c r="H33" s="277">
        <v>2</v>
      </c>
      <c r="I33" s="277">
        <v>3</v>
      </c>
      <c r="J33" s="277">
        <v>5</v>
      </c>
      <c r="K33" s="277">
        <v>5</v>
      </c>
      <c r="L33" s="277">
        <v>2</v>
      </c>
      <c r="M33" s="277">
        <v>8</v>
      </c>
      <c r="N33" s="290">
        <v>44</v>
      </c>
    </row>
    <row r="34" spans="1:15" x14ac:dyDescent="0.25">
      <c r="A34" s="273"/>
      <c r="B34" s="273"/>
      <c r="C34" s="273"/>
      <c r="D34" s="276" t="s">
        <v>109</v>
      </c>
      <c r="E34" s="273"/>
      <c r="F34" s="273"/>
      <c r="G34" s="273"/>
      <c r="H34" s="273"/>
      <c r="I34" s="273"/>
      <c r="J34" s="273"/>
      <c r="K34" s="296" t="s">
        <v>110</v>
      </c>
      <c r="L34" s="273"/>
      <c r="M34" s="273"/>
      <c r="N34" s="273"/>
    </row>
    <row r="35" spans="1:15" x14ac:dyDescent="0.25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96" t="s">
        <v>111</v>
      </c>
      <c r="L35" s="273"/>
      <c r="M35" s="273"/>
      <c r="N35" s="273"/>
    </row>
    <row r="36" spans="1:15" x14ac:dyDescent="0.25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96" t="s">
        <v>112</v>
      </c>
      <c r="L36" s="273"/>
      <c r="M36" s="273"/>
      <c r="N36" s="273"/>
    </row>
    <row r="37" spans="1:15" x14ac:dyDescent="0.25">
      <c r="A37" s="295" t="s">
        <v>97</v>
      </c>
      <c r="B37" s="295">
        <v>1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</row>
    <row r="38" spans="1:15" x14ac:dyDescent="0.25">
      <c r="A38" s="295"/>
      <c r="B38" s="295"/>
      <c r="C38" s="295"/>
      <c r="D38" s="295"/>
      <c r="E38" s="295"/>
      <c r="F38" s="295"/>
      <c r="G38" s="295"/>
      <c r="H38" s="295"/>
      <c r="I38" s="295" t="s">
        <v>99</v>
      </c>
      <c r="J38" s="295" t="s">
        <v>65</v>
      </c>
      <c r="K38" s="295" t="s">
        <v>101</v>
      </c>
      <c r="L38" s="295"/>
      <c r="M38" s="295" t="s">
        <v>113</v>
      </c>
      <c r="N38" s="295"/>
    </row>
    <row r="40" spans="1:15" x14ac:dyDescent="0.25">
      <c r="A40" s="400" t="s">
        <v>292</v>
      </c>
      <c r="B40" s="400"/>
      <c r="C40" s="400"/>
      <c r="D40" s="400"/>
    </row>
    <row r="41" spans="1:15" s="2" customFormat="1" x14ac:dyDescent="0.25">
      <c r="A41" s="3"/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4" t="s">
        <v>12</v>
      </c>
      <c r="M41" s="4" t="s">
        <v>13</v>
      </c>
      <c r="N41" s="5" t="s">
        <v>14</v>
      </c>
    </row>
    <row r="42" spans="1:15" s="2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s="2" customFormat="1" x14ac:dyDescent="0.25">
      <c r="A43" s="5" t="s">
        <v>15</v>
      </c>
      <c r="B43" s="6">
        <f>128+3</f>
        <v>131</v>
      </c>
      <c r="C43" s="4">
        <v>134</v>
      </c>
      <c r="D43" s="4">
        <v>137</v>
      </c>
      <c r="E43" s="4">
        <v>139</v>
      </c>
      <c r="F43" s="4">
        <v>146</v>
      </c>
      <c r="G43" s="7">
        <v>148</v>
      </c>
      <c r="H43" s="4">
        <v>150</v>
      </c>
      <c r="I43" s="4">
        <v>152</v>
      </c>
      <c r="J43" s="4">
        <v>157</v>
      </c>
      <c r="K43" s="4">
        <f>157+2-(59*0.5)</f>
        <v>129.5</v>
      </c>
      <c r="L43" s="4">
        <f>159-59+2</f>
        <v>102</v>
      </c>
      <c r="M43" s="4">
        <v>108</v>
      </c>
      <c r="N43" s="8">
        <f>SUM(B43:M43)/12</f>
        <v>136.125</v>
      </c>
    </row>
    <row r="44" spans="1:15" s="2" customFormat="1" x14ac:dyDescent="0.25">
      <c r="A44" s="5" t="s">
        <v>16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f>1-0.5</f>
        <v>0.5</v>
      </c>
      <c r="L44" s="9">
        <v>0</v>
      </c>
      <c r="M44" s="9">
        <v>0</v>
      </c>
      <c r="N44" s="10">
        <f>SUM(B44:M44)/12</f>
        <v>0.79166666666666663</v>
      </c>
    </row>
    <row r="45" spans="1:15" s="2" customFormat="1" x14ac:dyDescent="0.25">
      <c r="A45" s="5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>
        <f>SUM(B45:M45)/12</f>
        <v>0</v>
      </c>
    </row>
    <row r="46" spans="1:15" s="2" customFormat="1" x14ac:dyDescent="0.25">
      <c r="A46" s="5"/>
      <c r="B46" s="11"/>
      <c r="C46" s="11"/>
      <c r="D46" s="11"/>
      <c r="E46" s="11"/>
      <c r="F46" s="11"/>
      <c r="G46" s="11"/>
      <c r="H46" s="9"/>
      <c r="I46" s="11"/>
      <c r="J46" s="11"/>
      <c r="K46" s="11"/>
      <c r="L46" s="11"/>
      <c r="M46" s="11"/>
      <c r="N46" s="12"/>
      <c r="O46" s="13"/>
    </row>
    <row r="47" spans="1:15" s="2" customFormat="1" x14ac:dyDescent="0.25">
      <c r="A47" s="3" t="s">
        <v>62</v>
      </c>
      <c r="B47" s="4">
        <f>B43+(B45*1.5)+(B44*0.8)</f>
        <v>131.80000000000001</v>
      </c>
      <c r="C47" s="4">
        <f>C43+(C45*1.5)+(C44*0.8)</f>
        <v>134.80000000000001</v>
      </c>
      <c r="D47" s="4">
        <f>D43+(D45*1.5)+(D44*0.8)</f>
        <v>137.80000000000001</v>
      </c>
      <c r="E47" s="4">
        <f>E43+(E45*1.5)+(E44*0.8)</f>
        <v>139.80000000000001</v>
      </c>
      <c r="F47" s="4">
        <f>F43+(F45*1.5)+(F44*0.8)</f>
        <v>146.80000000000001</v>
      </c>
      <c r="G47" s="4">
        <f t="shared" ref="G47:M47" si="1">G43+(G45*1.5)+(G44*0.8)</f>
        <v>148.80000000000001</v>
      </c>
      <c r="H47" s="4">
        <f t="shared" si="1"/>
        <v>150.80000000000001</v>
      </c>
      <c r="I47" s="4">
        <f t="shared" si="1"/>
        <v>152.80000000000001</v>
      </c>
      <c r="J47" s="4">
        <f t="shared" si="1"/>
        <v>157.80000000000001</v>
      </c>
      <c r="K47" s="4">
        <f t="shared" si="1"/>
        <v>129.9</v>
      </c>
      <c r="L47" s="4">
        <f t="shared" si="1"/>
        <v>102</v>
      </c>
      <c r="M47" s="4">
        <f t="shared" si="1"/>
        <v>108</v>
      </c>
      <c r="N47" s="10">
        <f>SUM(B47:M47)/12</f>
        <v>136.75833333333333</v>
      </c>
    </row>
    <row r="48" spans="1:15" x14ac:dyDescent="0.25">
      <c r="A48" s="292" t="s">
        <v>107</v>
      </c>
      <c r="B48" s="293">
        <v>12</v>
      </c>
      <c r="C48" s="293">
        <v>12</v>
      </c>
      <c r="D48" s="293">
        <v>12</v>
      </c>
      <c r="E48" s="293">
        <v>12</v>
      </c>
      <c r="F48" s="293">
        <v>10</v>
      </c>
      <c r="G48" s="293">
        <v>10</v>
      </c>
      <c r="H48" s="293">
        <v>8</v>
      </c>
      <c r="I48" s="293">
        <v>8</v>
      </c>
      <c r="J48" s="293">
        <v>8</v>
      </c>
      <c r="K48" s="293">
        <v>7</v>
      </c>
      <c r="L48" s="293">
        <v>6</v>
      </c>
      <c r="M48" s="293">
        <v>6</v>
      </c>
      <c r="N48" s="294">
        <f>SUM(B48+C48+D48+E48+F48+G48+H48+I48+J48+K48+L48+M48)/12</f>
        <v>9.25</v>
      </c>
      <c r="O48" s="299"/>
    </row>
    <row r="49" spans="1:15" x14ac:dyDescent="0.25">
      <c r="A49" s="292" t="s">
        <v>108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4"/>
      <c r="O49" s="299"/>
    </row>
    <row r="51" spans="1:15" x14ac:dyDescent="0.25">
      <c r="A51" s="383" t="s">
        <v>189</v>
      </c>
      <c r="B51" s="383">
        <v>3</v>
      </c>
      <c r="C51" s="384">
        <v>3</v>
      </c>
      <c r="D51" s="384">
        <v>3</v>
      </c>
      <c r="E51" s="384">
        <v>2</v>
      </c>
      <c r="F51" s="384">
        <v>7</v>
      </c>
      <c r="G51" s="384">
        <v>2</v>
      </c>
      <c r="H51" s="384">
        <v>2</v>
      </c>
      <c r="I51" s="384">
        <v>2</v>
      </c>
      <c r="J51" s="384">
        <v>5</v>
      </c>
      <c r="K51" s="384">
        <v>2</v>
      </c>
      <c r="L51" s="384">
        <v>2</v>
      </c>
      <c r="M51" s="384">
        <v>6</v>
      </c>
      <c r="N51" s="109">
        <f>SUM(B51:M51)</f>
        <v>39</v>
      </c>
      <c r="O51" s="93"/>
    </row>
    <row r="52" spans="1:15" x14ac:dyDescent="0.25">
      <c r="A52" s="390"/>
      <c r="B52" s="383"/>
      <c r="C52" s="384"/>
      <c r="D52" s="384"/>
      <c r="E52" s="384"/>
      <c r="F52" s="384"/>
      <c r="G52" s="384"/>
      <c r="H52" s="384"/>
      <c r="I52" s="384"/>
      <c r="J52" s="384"/>
      <c r="K52" s="391" t="s">
        <v>317</v>
      </c>
      <c r="L52" s="384"/>
      <c r="M52" s="384"/>
      <c r="N52" s="109"/>
      <c r="O52" s="93"/>
    </row>
    <row r="53" spans="1:15" x14ac:dyDescent="0.25">
      <c r="K53" s="112" t="s">
        <v>70</v>
      </c>
    </row>
    <row r="54" spans="1:15" x14ac:dyDescent="0.25">
      <c r="A54" s="295" t="s">
        <v>97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</row>
    <row r="55" spans="1:15" x14ac:dyDescent="0.25">
      <c r="A55" s="295"/>
      <c r="B55" s="295">
        <v>1</v>
      </c>
      <c r="C55" s="295"/>
      <c r="D55" s="295"/>
      <c r="E55" s="295"/>
      <c r="F55" s="295" t="s">
        <v>220</v>
      </c>
      <c r="G55" s="295"/>
      <c r="H55" s="295" t="s">
        <v>324</v>
      </c>
      <c r="I55" s="295"/>
      <c r="J55" s="295"/>
      <c r="K55" s="295" t="s">
        <v>222</v>
      </c>
      <c r="L55" s="295" t="s">
        <v>224</v>
      </c>
      <c r="M55" s="295"/>
      <c r="N55" s="295"/>
    </row>
    <row r="59" spans="1:15" x14ac:dyDescent="0.25">
      <c r="A59" s="358" t="s">
        <v>160</v>
      </c>
      <c r="B59" s="358"/>
      <c r="C59" s="358"/>
      <c r="D59" s="358"/>
    </row>
    <row r="60" spans="1:15" s="2" customFormat="1" x14ac:dyDescent="0.25">
      <c r="A60" s="3"/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  <c r="K60" s="4" t="s">
        <v>11</v>
      </c>
      <c r="L60" s="4" t="s">
        <v>12</v>
      </c>
      <c r="M60" s="4" t="s">
        <v>13</v>
      </c>
      <c r="N60" s="5" t="s">
        <v>14</v>
      </c>
    </row>
    <row r="61" spans="1:15" s="2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5" s="2" customFormat="1" x14ac:dyDescent="0.25">
      <c r="A62" s="5" t="s">
        <v>15</v>
      </c>
      <c r="B62" s="6">
        <f>127+3</f>
        <v>130</v>
      </c>
      <c r="C62" s="4">
        <v>132</v>
      </c>
      <c r="D62" s="4">
        <v>135</v>
      </c>
      <c r="E62" s="4">
        <v>137</v>
      </c>
      <c r="F62" s="4">
        <f>143</f>
        <v>143</v>
      </c>
      <c r="G62" s="7">
        <v>145</v>
      </c>
      <c r="H62" s="4">
        <v>147</v>
      </c>
      <c r="I62" s="4">
        <v>149</v>
      </c>
      <c r="J62" s="4">
        <v>154</v>
      </c>
      <c r="K62" s="4">
        <f>154+3-(54*0.5)</f>
        <v>130</v>
      </c>
      <c r="L62" s="4">
        <f>103+2</f>
        <v>105</v>
      </c>
      <c r="M62" s="4">
        <v>111</v>
      </c>
      <c r="N62" s="8">
        <f>SUM(B62:M62)/12</f>
        <v>134.83333333333334</v>
      </c>
    </row>
    <row r="63" spans="1:15" s="2" customFormat="1" x14ac:dyDescent="0.25">
      <c r="A63" s="5" t="s">
        <v>16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0">
        <f>SUM(B63:M63)/12</f>
        <v>0</v>
      </c>
    </row>
    <row r="64" spans="1:15" s="2" customFormat="1" x14ac:dyDescent="0.25">
      <c r="A64" s="5" t="s">
        <v>17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0">
        <f>SUM(B64:M64)/12</f>
        <v>0</v>
      </c>
    </row>
    <row r="65" spans="1:15" s="2" customFormat="1" x14ac:dyDescent="0.25">
      <c r="A65" s="5"/>
      <c r="B65" s="11"/>
      <c r="C65" s="11"/>
      <c r="D65" s="11"/>
      <c r="E65" s="11"/>
      <c r="F65" s="11"/>
      <c r="G65" s="11"/>
      <c r="H65" s="9"/>
      <c r="I65" s="11"/>
      <c r="J65" s="11"/>
      <c r="K65" s="11"/>
      <c r="L65" s="11"/>
      <c r="M65" s="11"/>
      <c r="N65" s="12"/>
      <c r="O65" s="13"/>
    </row>
    <row r="66" spans="1:15" s="2" customFormat="1" x14ac:dyDescent="0.25">
      <c r="A66" s="3" t="s">
        <v>62</v>
      </c>
      <c r="B66" s="4">
        <f>B62+(B64*1.5)+(B63*0.8)</f>
        <v>130</v>
      </c>
      <c r="C66" s="4">
        <f>C62+(C64*1.5)+(C63*0.8)</f>
        <v>132</v>
      </c>
      <c r="D66" s="4">
        <f>D62+(D64*1.5)+(D63*0.8)</f>
        <v>135</v>
      </c>
      <c r="E66" s="4">
        <f>E62+(E64*1.5)+(E63*0.8)</f>
        <v>137</v>
      </c>
      <c r="F66" s="4">
        <f>F62+(F64*1.5)+(F63*0.8)</f>
        <v>143</v>
      </c>
      <c r="G66" s="4">
        <f t="shared" ref="G66:M66" si="2">G62+(G64*1.5)+(G63*0.8)</f>
        <v>145</v>
      </c>
      <c r="H66" s="4">
        <f t="shared" si="2"/>
        <v>147</v>
      </c>
      <c r="I66" s="4">
        <f t="shared" si="2"/>
        <v>149</v>
      </c>
      <c r="J66" s="4">
        <f t="shared" si="2"/>
        <v>154</v>
      </c>
      <c r="K66" s="4">
        <f t="shared" si="2"/>
        <v>130</v>
      </c>
      <c r="L66" s="4">
        <f t="shared" si="2"/>
        <v>105</v>
      </c>
      <c r="M66" s="4">
        <f t="shared" si="2"/>
        <v>111</v>
      </c>
      <c r="N66" s="10">
        <f>SUM(B66:M66)/12</f>
        <v>134.83333333333334</v>
      </c>
    </row>
    <row r="67" spans="1:15" x14ac:dyDescent="0.25">
      <c r="A67" s="292" t="s">
        <v>107</v>
      </c>
      <c r="B67" s="293">
        <v>9</v>
      </c>
      <c r="C67" s="293">
        <v>9</v>
      </c>
      <c r="D67" s="293">
        <v>9</v>
      </c>
      <c r="E67" s="293">
        <v>9</v>
      </c>
      <c r="F67" s="293">
        <v>7</v>
      </c>
      <c r="G67" s="293">
        <v>7</v>
      </c>
      <c r="H67" s="293">
        <v>6</v>
      </c>
      <c r="I67" s="293">
        <v>6</v>
      </c>
      <c r="J67" s="293">
        <v>5</v>
      </c>
      <c r="K67" s="293">
        <v>4</v>
      </c>
      <c r="L67" s="293">
        <v>3</v>
      </c>
      <c r="M67" s="293">
        <v>3</v>
      </c>
      <c r="N67" s="294">
        <f>SUM(B67+C67+D67+E67+F67+G67+H67+I67+J67+K67+L67+M67)/12</f>
        <v>6.416666666666667</v>
      </c>
      <c r="O67" s="299"/>
    </row>
    <row r="68" spans="1:15" x14ac:dyDescent="0.25">
      <c r="A68" s="292" t="s">
        <v>108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4"/>
      <c r="O68" s="299"/>
    </row>
    <row r="70" spans="1:15" x14ac:dyDescent="0.25">
      <c r="A70" s="383" t="s">
        <v>189</v>
      </c>
      <c r="B70" s="383">
        <v>3</v>
      </c>
      <c r="C70" s="384">
        <v>2</v>
      </c>
      <c r="D70" s="384">
        <v>3</v>
      </c>
      <c r="E70" s="384">
        <v>2</v>
      </c>
      <c r="F70" s="384">
        <v>6</v>
      </c>
      <c r="G70" s="384">
        <v>2</v>
      </c>
      <c r="H70" s="384">
        <v>2</v>
      </c>
      <c r="I70" s="384">
        <v>2</v>
      </c>
      <c r="J70" s="384">
        <v>5</v>
      </c>
      <c r="K70" s="384">
        <v>3</v>
      </c>
      <c r="L70" s="384">
        <v>2</v>
      </c>
      <c r="M70" s="384">
        <v>6</v>
      </c>
      <c r="N70" s="109">
        <f>SUM(B70:M70)</f>
        <v>38</v>
      </c>
      <c r="O70" s="93"/>
    </row>
    <row r="71" spans="1:15" x14ac:dyDescent="0.25">
      <c r="A71" s="390"/>
      <c r="B71" s="383"/>
      <c r="C71" s="384"/>
      <c r="D71" s="384"/>
      <c r="E71" s="384"/>
      <c r="F71" s="384"/>
      <c r="G71" s="384"/>
      <c r="H71" s="384"/>
      <c r="I71" s="384"/>
      <c r="J71" s="384"/>
      <c r="K71" s="391" t="s">
        <v>208</v>
      </c>
      <c r="L71" s="384"/>
      <c r="M71" s="384"/>
      <c r="N71" s="109"/>
      <c r="O71" s="93"/>
    </row>
    <row r="73" spans="1:15" x14ac:dyDescent="0.25">
      <c r="A73" s="295" t="s">
        <v>97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5" x14ac:dyDescent="0.25">
      <c r="A74" s="295"/>
      <c r="B74" s="295"/>
      <c r="C74" s="295"/>
      <c r="D74" s="295"/>
      <c r="E74" s="295"/>
      <c r="F74" s="295" t="s">
        <v>220</v>
      </c>
      <c r="G74" s="295"/>
      <c r="H74" s="295" t="s">
        <v>221</v>
      </c>
      <c r="I74" s="295"/>
      <c r="J74" s="295" t="s">
        <v>223</v>
      </c>
      <c r="K74" s="295" t="s">
        <v>222</v>
      </c>
      <c r="L74" s="295" t="s">
        <v>224</v>
      </c>
      <c r="M74" s="295"/>
      <c r="N74" s="29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D5" sqref="D5:K7"/>
    </sheetView>
  </sheetViews>
  <sheetFormatPr defaultRowHeight="15" x14ac:dyDescent="0.25"/>
  <sheetData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84"/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5" x14ac:dyDescent="0.25">
      <c r="A5" s="86" t="s">
        <v>15</v>
      </c>
      <c r="B5" s="32">
        <v>24</v>
      </c>
      <c r="C5" s="58">
        <v>24</v>
      </c>
      <c r="D5" s="58">
        <v>25</v>
      </c>
      <c r="E5" s="58">
        <v>26</v>
      </c>
      <c r="F5" s="58">
        <v>27</v>
      </c>
      <c r="G5" s="386">
        <v>29</v>
      </c>
      <c r="H5" s="58">
        <v>29</v>
      </c>
      <c r="I5" s="58">
        <v>29</v>
      </c>
      <c r="J5" s="58">
        <f>29+0.25</f>
        <v>29.25</v>
      </c>
      <c r="K5" s="58">
        <f>30+1-(5*0.5)</f>
        <v>28.5</v>
      </c>
      <c r="L5" s="41">
        <f>31-5+1</f>
        <v>27</v>
      </c>
      <c r="M5" s="4">
        <f>27+2</f>
        <v>29</v>
      </c>
      <c r="N5" s="8">
        <f>SUM(B5:M5)/12</f>
        <v>27.229166666666668</v>
      </c>
      <c r="O5" s="66"/>
    </row>
    <row r="6" spans="1:15" x14ac:dyDescent="0.25">
      <c r="A6" s="86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3"/>
      <c r="M6" s="9"/>
      <c r="N6" s="10">
        <f>SUM(B6:M6)/12</f>
        <v>0</v>
      </c>
      <c r="O6" s="66"/>
    </row>
    <row r="7" spans="1:15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  <c r="O7" s="66"/>
    </row>
    <row r="8" spans="1:15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15" x14ac:dyDescent="0.25">
      <c r="A9" s="84" t="s">
        <v>18</v>
      </c>
      <c r="B9" s="4">
        <f>B5+(B7*1.5)+(B6*0.8)</f>
        <v>24</v>
      </c>
      <c r="C9" s="4">
        <f>C5+(C7*1.5)+(C6*0.8)</f>
        <v>24</v>
      </c>
      <c r="D9" s="4">
        <f>D5+(D7*1.5)+(D6*0.8)</f>
        <v>25</v>
      </c>
      <c r="E9" s="4">
        <f>E5+(E7*1.5)+(E6*0.8)</f>
        <v>26</v>
      </c>
      <c r="F9" s="4">
        <f>F5+(F7*1.5)+(F6*0.8)</f>
        <v>27</v>
      </c>
      <c r="G9" s="4">
        <f t="shared" ref="G9:M9" si="0">G5+(G7*1.5)+(G6*0.8)</f>
        <v>29</v>
      </c>
      <c r="H9" s="4">
        <f t="shared" si="0"/>
        <v>29</v>
      </c>
      <c r="I9" s="4">
        <f t="shared" si="0"/>
        <v>29</v>
      </c>
      <c r="J9" s="4">
        <f t="shared" si="0"/>
        <v>29.25</v>
      </c>
      <c r="K9" s="4">
        <f t="shared" si="0"/>
        <v>28.5</v>
      </c>
      <c r="L9" s="4">
        <f t="shared" si="0"/>
        <v>27</v>
      </c>
      <c r="M9" s="4">
        <f t="shared" si="0"/>
        <v>29</v>
      </c>
      <c r="N9" s="10">
        <f>SUM(B9:M9)/12</f>
        <v>27.229166666666668</v>
      </c>
      <c r="O9" s="66"/>
    </row>
    <row r="10" spans="1:15" x14ac:dyDescent="0.25">
      <c r="A10" s="81" t="s">
        <v>19</v>
      </c>
      <c r="B10" s="77"/>
      <c r="C10" s="68"/>
      <c r="D10" s="68">
        <v>1</v>
      </c>
      <c r="E10" s="68">
        <v>1</v>
      </c>
      <c r="F10" s="68">
        <v>1</v>
      </c>
      <c r="G10" s="68">
        <v>2</v>
      </c>
      <c r="H10" s="68"/>
      <c r="I10" s="68"/>
      <c r="J10" s="68">
        <v>1</v>
      </c>
      <c r="K10" s="68">
        <v>1</v>
      </c>
      <c r="L10" s="68">
        <v>1</v>
      </c>
      <c r="M10" s="68">
        <v>2</v>
      </c>
      <c r="N10" s="82">
        <v>7</v>
      </c>
      <c r="O10" s="66"/>
    </row>
    <row r="11" spans="1:15" x14ac:dyDescent="0.25">
      <c r="J11" s="404" t="s">
        <v>308</v>
      </c>
      <c r="K11" t="s">
        <v>307</v>
      </c>
    </row>
    <row r="12" spans="1:15" x14ac:dyDescent="0.25">
      <c r="A12" s="316" t="s">
        <v>0</v>
      </c>
      <c r="B12" s="315"/>
      <c r="C12" s="315"/>
      <c r="D12" s="315"/>
      <c r="E12" s="299"/>
      <c r="F12" s="299"/>
      <c r="G12" s="299"/>
      <c r="H12" s="299"/>
      <c r="I12" s="299"/>
      <c r="J12" s="299"/>
      <c r="K12" s="299"/>
      <c r="L12" s="299"/>
      <c r="M12" s="299"/>
      <c r="N12" s="299"/>
    </row>
    <row r="13" spans="1:15" x14ac:dyDescent="0.25">
      <c r="A13" s="303" t="s">
        <v>114</v>
      </c>
      <c r="B13" s="304" t="s">
        <v>2</v>
      </c>
      <c r="C13" s="304" t="s">
        <v>3</v>
      </c>
      <c r="D13" s="304" t="s">
        <v>4</v>
      </c>
      <c r="E13" s="304" t="s">
        <v>5</v>
      </c>
      <c r="F13" s="304" t="s">
        <v>6</v>
      </c>
      <c r="G13" s="304" t="s">
        <v>7</v>
      </c>
      <c r="H13" s="304" t="s">
        <v>8</v>
      </c>
      <c r="I13" s="304" t="s">
        <v>9</v>
      </c>
      <c r="J13" s="304" t="s">
        <v>10</v>
      </c>
      <c r="K13" s="304" t="s">
        <v>11</v>
      </c>
      <c r="L13" s="304" t="s">
        <v>12</v>
      </c>
      <c r="M13" s="304" t="s">
        <v>13</v>
      </c>
      <c r="N13" s="305" t="s">
        <v>14</v>
      </c>
    </row>
    <row r="14" spans="1:15" x14ac:dyDescent="0.25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299"/>
    </row>
    <row r="15" spans="1:15" x14ac:dyDescent="0.25">
      <c r="A15" s="305" t="s">
        <v>15</v>
      </c>
      <c r="B15" s="311">
        <v>24</v>
      </c>
      <c r="C15" s="304">
        <v>24</v>
      </c>
      <c r="D15" s="304">
        <v>26</v>
      </c>
      <c r="E15" s="304">
        <v>27</v>
      </c>
      <c r="F15" s="304">
        <v>28</v>
      </c>
      <c r="G15" s="312">
        <v>30</v>
      </c>
      <c r="H15" s="304">
        <v>30</v>
      </c>
      <c r="I15" s="304">
        <v>30</v>
      </c>
      <c r="J15" s="304">
        <v>30</v>
      </c>
      <c r="K15" s="304">
        <v>31</v>
      </c>
      <c r="L15" s="304">
        <v>32</v>
      </c>
      <c r="M15" s="304">
        <v>33</v>
      </c>
      <c r="N15" s="306">
        <v>28.75</v>
      </c>
      <c r="O15" s="299"/>
    </row>
    <row r="16" spans="1:15" x14ac:dyDescent="0.25">
      <c r="A16" s="305" t="s">
        <v>16</v>
      </c>
      <c r="B16" s="307">
        <v>0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8">
        <v>0</v>
      </c>
      <c r="O16" s="299"/>
    </row>
    <row r="17" spans="1:15" x14ac:dyDescent="0.25">
      <c r="A17" s="305" t="s">
        <v>17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8">
        <v>0</v>
      </c>
      <c r="O17" s="299"/>
    </row>
    <row r="18" spans="1:15" x14ac:dyDescent="0.25">
      <c r="A18" s="305"/>
      <c r="B18" s="309"/>
      <c r="C18" s="309"/>
      <c r="D18" s="309"/>
      <c r="E18" s="309"/>
      <c r="F18" s="309"/>
      <c r="G18" s="309"/>
      <c r="H18" s="307"/>
      <c r="I18" s="309"/>
      <c r="J18" s="309"/>
      <c r="K18" s="309"/>
      <c r="L18" s="309"/>
      <c r="M18" s="309"/>
      <c r="N18" s="310"/>
      <c r="O18" s="300"/>
    </row>
    <row r="19" spans="1:15" x14ac:dyDescent="0.25">
      <c r="A19" s="303" t="s">
        <v>18</v>
      </c>
      <c r="B19" s="304">
        <v>24</v>
      </c>
      <c r="C19" s="304">
        <v>24</v>
      </c>
      <c r="D19" s="304">
        <v>26</v>
      </c>
      <c r="E19" s="304">
        <v>27</v>
      </c>
      <c r="F19" s="304">
        <v>28</v>
      </c>
      <c r="G19" s="304">
        <v>30</v>
      </c>
      <c r="H19" s="304">
        <v>30</v>
      </c>
      <c r="I19" s="304">
        <v>30</v>
      </c>
      <c r="J19" s="304">
        <v>30</v>
      </c>
      <c r="K19" s="304">
        <v>31</v>
      </c>
      <c r="L19" s="304">
        <v>32</v>
      </c>
      <c r="M19" s="304">
        <v>33</v>
      </c>
      <c r="N19" s="308">
        <v>28.75</v>
      </c>
      <c r="O19" s="299"/>
    </row>
    <row r="20" spans="1:15" x14ac:dyDescent="0.25">
      <c r="A20" s="313" t="s">
        <v>19</v>
      </c>
      <c r="B20" s="302">
        <v>1</v>
      </c>
      <c r="C20" s="301">
        <v>0</v>
      </c>
      <c r="D20" s="301">
        <v>2</v>
      </c>
      <c r="E20" s="301">
        <v>1</v>
      </c>
      <c r="F20" s="301">
        <v>1</v>
      </c>
      <c r="G20" s="301">
        <v>2</v>
      </c>
      <c r="H20" s="301">
        <v>0</v>
      </c>
      <c r="I20" s="301">
        <v>0</v>
      </c>
      <c r="J20" s="301">
        <v>0</v>
      </c>
      <c r="K20" s="301">
        <v>1</v>
      </c>
      <c r="L20" s="301">
        <v>1</v>
      </c>
      <c r="M20" s="301">
        <v>1</v>
      </c>
      <c r="N20" s="314">
        <v>10</v>
      </c>
      <c r="O20" s="299"/>
    </row>
    <row r="21" spans="1:15" x14ac:dyDescent="0.25">
      <c r="A21" s="298"/>
      <c r="B21" s="298" t="s">
        <v>115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</row>
    <row r="23" spans="1:15" x14ac:dyDescent="0.25">
      <c r="A23" s="400" t="s">
        <v>292</v>
      </c>
      <c r="B23" s="400"/>
      <c r="C23" s="400"/>
      <c r="D23" s="400"/>
    </row>
    <row r="24" spans="1:15" s="2" customFormat="1" x14ac:dyDescent="0.25">
      <c r="A24" s="3"/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4" t="s">
        <v>12</v>
      </c>
      <c r="M24" s="4" t="s">
        <v>13</v>
      </c>
      <c r="N24" s="5" t="s">
        <v>14</v>
      </c>
    </row>
    <row r="25" spans="1:15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s="2" customFormat="1" x14ac:dyDescent="0.25">
      <c r="A26" s="5" t="s">
        <v>15</v>
      </c>
      <c r="B26" s="6">
        <f>29-7+1</f>
        <v>23</v>
      </c>
      <c r="C26" s="4">
        <v>24</v>
      </c>
      <c r="D26" s="4">
        <v>25</v>
      </c>
      <c r="E26" s="4">
        <v>26</v>
      </c>
      <c r="F26" s="4">
        <v>26</v>
      </c>
      <c r="G26" s="7">
        <v>26</v>
      </c>
      <c r="H26" s="4">
        <v>27</v>
      </c>
      <c r="I26" s="4">
        <v>27</v>
      </c>
      <c r="J26" s="4">
        <v>27</v>
      </c>
      <c r="K26" s="4">
        <v>27</v>
      </c>
      <c r="L26" s="4">
        <v>27</v>
      </c>
      <c r="M26" s="4">
        <v>27</v>
      </c>
      <c r="N26" s="8">
        <f>SUM(B26:M26)/12</f>
        <v>26</v>
      </c>
    </row>
    <row r="27" spans="1:15" s="2" customFormat="1" x14ac:dyDescent="0.25">
      <c r="A27" s="5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>SUM(B27:M27)/12</f>
        <v>0</v>
      </c>
    </row>
    <row r="28" spans="1:15" s="2" customFormat="1" x14ac:dyDescent="0.25">
      <c r="A28" s="5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>
        <f>SUM(B28:M28)/12</f>
        <v>0</v>
      </c>
    </row>
    <row r="29" spans="1:15" s="2" customFormat="1" x14ac:dyDescent="0.25">
      <c r="A29" s="5"/>
      <c r="B29" s="11"/>
      <c r="C29" s="11"/>
      <c r="D29" s="11"/>
      <c r="E29" s="11"/>
      <c r="F29" s="11"/>
      <c r="G29" s="11"/>
      <c r="H29" s="9"/>
      <c r="I29" s="11"/>
      <c r="J29" s="11"/>
      <c r="K29" s="11"/>
      <c r="L29" s="11"/>
      <c r="M29" s="11"/>
      <c r="N29" s="12"/>
      <c r="O29" s="13"/>
    </row>
    <row r="30" spans="1:15" s="2" customFormat="1" x14ac:dyDescent="0.25">
      <c r="A30" s="3" t="s">
        <v>62</v>
      </c>
      <c r="B30" s="4">
        <f>B26+(B28*1.5)+(B27*0.8)</f>
        <v>23</v>
      </c>
      <c r="C30" s="4">
        <f>C26+(C28*1.5)+(C27*0.8)</f>
        <v>24</v>
      </c>
      <c r="D30" s="4">
        <f>D26+(D28*1.5)+(D27*0.8)</f>
        <v>25</v>
      </c>
      <c r="E30" s="4">
        <f>E26+(E28*1.5)+(E27*0.8)</f>
        <v>26</v>
      </c>
      <c r="F30" s="4">
        <f>F26+(F28*1.5)+(F27*0.8)</f>
        <v>26</v>
      </c>
      <c r="G30" s="4">
        <f t="shared" ref="G30:M30" si="1">G26+(G28*1.5)+(G27*0.8)</f>
        <v>26</v>
      </c>
      <c r="H30" s="4">
        <f t="shared" si="1"/>
        <v>27</v>
      </c>
      <c r="I30" s="4">
        <f t="shared" si="1"/>
        <v>27</v>
      </c>
      <c r="J30" s="4">
        <f t="shared" si="1"/>
        <v>27</v>
      </c>
      <c r="K30" s="4">
        <f t="shared" si="1"/>
        <v>27</v>
      </c>
      <c r="L30" s="4">
        <f t="shared" si="1"/>
        <v>27</v>
      </c>
      <c r="M30" s="4">
        <f t="shared" si="1"/>
        <v>27</v>
      </c>
      <c r="N30" s="10">
        <f>SUM(B30:M30)/12</f>
        <v>26</v>
      </c>
    </row>
    <row r="31" spans="1:15" s="2" customFormat="1" x14ac:dyDescent="0.25">
      <c r="A31" s="14" t="s">
        <v>19</v>
      </c>
      <c r="B31" s="15">
        <v>1</v>
      </c>
      <c r="C31" s="16">
        <v>1</v>
      </c>
      <c r="D31" s="16">
        <v>1</v>
      </c>
      <c r="E31" s="16">
        <v>1</v>
      </c>
      <c r="F31" s="16"/>
      <c r="G31" s="16"/>
      <c r="H31" s="16">
        <v>1</v>
      </c>
      <c r="I31" s="16"/>
      <c r="J31" s="16"/>
      <c r="K31" s="16"/>
      <c r="L31" s="16"/>
      <c r="M31" s="16"/>
      <c r="N31" s="17">
        <f>SUM(B31:M31)</f>
        <v>5</v>
      </c>
      <c r="O31" s="16"/>
    </row>
    <row r="32" spans="1:15" s="2" customFormat="1" x14ac:dyDescent="0.25">
      <c r="A32" s="405"/>
      <c r="B32" s="15" t="s">
        <v>104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406"/>
      <c r="O32" s="16"/>
    </row>
    <row r="34" spans="1:15" x14ac:dyDescent="0.25">
      <c r="A34" s="358" t="s">
        <v>160</v>
      </c>
      <c r="B34" s="358"/>
      <c r="C34" s="358"/>
      <c r="D34" s="358"/>
    </row>
    <row r="35" spans="1:15" s="2" customFormat="1" x14ac:dyDescent="0.25">
      <c r="A35" s="3"/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  <c r="N35" s="5" t="s">
        <v>14</v>
      </c>
    </row>
    <row r="36" spans="1:15" s="2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5" s="2" customFormat="1" x14ac:dyDescent="0.25">
      <c r="A37" s="5" t="s">
        <v>15</v>
      </c>
      <c r="B37" s="6">
        <f>30-10</f>
        <v>20</v>
      </c>
      <c r="C37" s="4">
        <v>21</v>
      </c>
      <c r="D37" s="4">
        <v>22</v>
      </c>
      <c r="E37" s="4">
        <v>23</v>
      </c>
      <c r="F37" s="4">
        <v>23</v>
      </c>
      <c r="G37" s="7">
        <v>23</v>
      </c>
      <c r="H37" s="4">
        <v>24</v>
      </c>
      <c r="I37" s="4">
        <v>24</v>
      </c>
      <c r="J37" s="4">
        <v>24</v>
      </c>
      <c r="K37" s="4">
        <v>24</v>
      </c>
      <c r="L37" s="4">
        <v>24</v>
      </c>
      <c r="M37" s="4">
        <v>24</v>
      </c>
      <c r="N37" s="8">
        <f>SUM(B37:M37)/12</f>
        <v>23</v>
      </c>
    </row>
    <row r="38" spans="1:15" s="2" customFormat="1" x14ac:dyDescent="0.25">
      <c r="A38" s="5" t="s">
        <v>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>
        <f>SUM(B38:M38)/12</f>
        <v>0</v>
      </c>
    </row>
    <row r="39" spans="1:15" s="2" customFormat="1" x14ac:dyDescent="0.25">
      <c r="A39" s="5" t="s">
        <v>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>SUM(B39:M39)/12</f>
        <v>0</v>
      </c>
    </row>
    <row r="40" spans="1:15" s="2" customFormat="1" x14ac:dyDescent="0.25">
      <c r="A40" s="5"/>
      <c r="B40" s="11"/>
      <c r="C40" s="11"/>
      <c r="D40" s="11"/>
      <c r="E40" s="11"/>
      <c r="F40" s="11"/>
      <c r="G40" s="11"/>
      <c r="H40" s="9"/>
      <c r="I40" s="11"/>
      <c r="J40" s="11"/>
      <c r="K40" s="11"/>
      <c r="L40" s="11"/>
      <c r="M40" s="11"/>
      <c r="N40" s="12"/>
      <c r="O40" s="13"/>
    </row>
    <row r="41" spans="1:15" s="2" customFormat="1" x14ac:dyDescent="0.25">
      <c r="A41" s="3" t="s">
        <v>62</v>
      </c>
      <c r="B41" s="4">
        <f>B37+(B39*1.5)+(B38*0.8)</f>
        <v>20</v>
      </c>
      <c r="C41" s="4">
        <f>C37+(C39*1.5)+(C38*0.8)</f>
        <v>21</v>
      </c>
      <c r="D41" s="4">
        <f>D37+(D39*1.5)+(D38*0.8)</f>
        <v>22</v>
      </c>
      <c r="E41" s="4">
        <f>E37+(E39*1.5)+(E38*0.8)</f>
        <v>23</v>
      </c>
      <c r="F41" s="4">
        <f>F37+(F39*1.5)+(F38*0.8)</f>
        <v>23</v>
      </c>
      <c r="G41" s="4">
        <f t="shared" ref="G41:M41" si="2">G37+(G39*1.5)+(G38*0.8)</f>
        <v>23</v>
      </c>
      <c r="H41" s="4">
        <f t="shared" si="2"/>
        <v>24</v>
      </c>
      <c r="I41" s="4">
        <f t="shared" si="2"/>
        <v>24</v>
      </c>
      <c r="J41" s="4">
        <f t="shared" si="2"/>
        <v>24</v>
      </c>
      <c r="K41" s="4">
        <f t="shared" si="2"/>
        <v>24</v>
      </c>
      <c r="L41" s="4">
        <f t="shared" si="2"/>
        <v>24</v>
      </c>
      <c r="M41" s="4">
        <f t="shared" si="2"/>
        <v>24</v>
      </c>
      <c r="N41" s="10">
        <f>SUM(B41:M41)/12</f>
        <v>23</v>
      </c>
    </row>
    <row r="42" spans="1:15" s="2" customFormat="1" x14ac:dyDescent="0.25">
      <c r="A42" s="14" t="s">
        <v>19</v>
      </c>
      <c r="B42" s="15"/>
      <c r="C42" s="16">
        <v>1</v>
      </c>
      <c r="D42" s="16">
        <v>1</v>
      </c>
      <c r="E42" s="16">
        <v>1</v>
      </c>
      <c r="F42" s="16"/>
      <c r="G42" s="16"/>
      <c r="H42" s="16">
        <v>1</v>
      </c>
      <c r="I42" s="16"/>
      <c r="J42" s="16"/>
      <c r="K42" s="16"/>
      <c r="L42" s="16"/>
      <c r="M42" s="16"/>
      <c r="N42" s="17">
        <f>SUM(B42:M42)</f>
        <v>4</v>
      </c>
      <c r="O42" s="16"/>
    </row>
    <row r="43" spans="1:15" x14ac:dyDescent="0.25">
      <c r="B43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H20" sqref="H20"/>
    </sheetView>
  </sheetViews>
  <sheetFormatPr defaultRowHeight="15" x14ac:dyDescent="0.25"/>
  <cols>
    <col min="10" max="10" width="12.42578125" customWidth="1"/>
    <col min="12" max="12" width="12.42578125" customWidth="1"/>
  </cols>
  <sheetData>
    <row r="1" spans="1:15" x14ac:dyDescent="0.25">
      <c r="A1" s="358" t="s">
        <v>226</v>
      </c>
      <c r="B1" s="358"/>
      <c r="C1" s="358"/>
      <c r="D1" s="358"/>
    </row>
    <row r="2" spans="1:15" s="2" customFormat="1" x14ac:dyDescent="0.25">
      <c r="A2" s="3"/>
      <c r="B2" s="4" t="s">
        <v>7</v>
      </c>
      <c r="C2" s="4" t="s">
        <v>8</v>
      </c>
      <c r="D2" s="4" t="s">
        <v>9</v>
      </c>
      <c r="E2" s="4" t="s">
        <v>227</v>
      </c>
      <c r="F2" s="4" t="s">
        <v>228</v>
      </c>
      <c r="G2" s="4" t="s">
        <v>12</v>
      </c>
      <c r="H2" s="4" t="s">
        <v>13</v>
      </c>
      <c r="I2" s="4" t="s">
        <v>229</v>
      </c>
      <c r="J2" s="4" t="s">
        <v>3</v>
      </c>
      <c r="K2" s="4" t="s">
        <v>4</v>
      </c>
      <c r="L2" s="4" t="s">
        <v>230</v>
      </c>
      <c r="M2" s="4" t="s">
        <v>6</v>
      </c>
      <c r="N2" s="5" t="s">
        <v>14</v>
      </c>
    </row>
    <row r="3" spans="1:15" s="2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2" customFormat="1" x14ac:dyDescent="0.25">
      <c r="A4" s="5" t="s">
        <v>15</v>
      </c>
      <c r="B4" s="6"/>
      <c r="C4" s="4"/>
      <c r="D4" s="4"/>
      <c r="E4" s="4"/>
      <c r="F4" s="4"/>
      <c r="G4" s="7"/>
      <c r="H4" s="4"/>
      <c r="I4" s="4"/>
      <c r="J4" s="4"/>
      <c r="K4" s="4"/>
      <c r="L4" s="4"/>
      <c r="M4" s="4"/>
      <c r="N4" s="8">
        <f>SUM(B4:M4)/12</f>
        <v>0</v>
      </c>
    </row>
    <row r="5" spans="1:15" s="2" customFormat="1" x14ac:dyDescent="0.25">
      <c r="A5" s="5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>
        <f>SUM(B5:M5)/12</f>
        <v>0</v>
      </c>
    </row>
    <row r="6" spans="1:15" s="2" customFormat="1" x14ac:dyDescent="0.25">
      <c r="A6" s="5" t="s">
        <v>17</v>
      </c>
      <c r="B6" s="11">
        <f>0.5+0.25+0.25</f>
        <v>1</v>
      </c>
      <c r="C6" s="11">
        <f>1+1+1</f>
        <v>3</v>
      </c>
      <c r="D6" s="11">
        <f>1+1+1</f>
        <v>3</v>
      </c>
      <c r="E6" s="11">
        <f>1+1+1</f>
        <v>3</v>
      </c>
      <c r="F6" s="11">
        <f>1+1+1+0.5+0.5+0.5</f>
        <v>4.5</v>
      </c>
      <c r="G6" s="11">
        <f>1+1+1+1+1</f>
        <v>5</v>
      </c>
      <c r="H6" s="11">
        <f>1+1</f>
        <v>2</v>
      </c>
      <c r="I6" s="11">
        <f>1+1+0.75+0.5</f>
        <v>3.25</v>
      </c>
      <c r="J6" s="11">
        <f>1+1+1+1+1+0.5</f>
        <v>5.5</v>
      </c>
      <c r="K6" s="11">
        <f>1+0.5</f>
        <v>1.5</v>
      </c>
      <c r="L6" s="11"/>
      <c r="M6" s="11"/>
      <c r="N6" s="10">
        <f>SUM(B6:M6)/12</f>
        <v>2.6458333333333335</v>
      </c>
      <c r="O6" s="2" t="s">
        <v>255</v>
      </c>
    </row>
    <row r="7" spans="1:15" s="2" customFormat="1" x14ac:dyDescent="0.25">
      <c r="A7" s="5"/>
      <c r="B7" s="11"/>
      <c r="C7" s="11"/>
      <c r="D7" s="11"/>
      <c r="E7" s="11"/>
      <c r="F7" s="11"/>
      <c r="G7" s="11"/>
      <c r="H7" s="9"/>
      <c r="I7" s="11"/>
      <c r="J7" s="11"/>
      <c r="K7" s="11"/>
      <c r="L7" s="11"/>
      <c r="M7" s="11"/>
      <c r="N7" s="12"/>
      <c r="O7" s="13"/>
    </row>
    <row r="8" spans="1:15" s="2" customFormat="1" x14ac:dyDescent="0.25">
      <c r="A8" s="3" t="s">
        <v>62</v>
      </c>
      <c r="B8" s="4">
        <f>B4+(B6*1.5)+(B5*0.8)</f>
        <v>1.5</v>
      </c>
      <c r="C8" s="4">
        <f>C4+(C6*1.5)+(C5*0.8)</f>
        <v>4.5</v>
      </c>
      <c r="D8" s="4">
        <f>D4+(D6*1.5)+(D5*0.8)</f>
        <v>4.5</v>
      </c>
      <c r="E8" s="4">
        <f>E4+(E6*1.5)+(E5*0.8)</f>
        <v>4.5</v>
      </c>
      <c r="F8" s="4">
        <f>F4+(F6*1.5)+(F5*0.8)</f>
        <v>6.75</v>
      </c>
      <c r="G8" s="4">
        <f t="shared" ref="G8:M8" si="0">G4+(G6*1.5)+(G5*0.8)</f>
        <v>7.5</v>
      </c>
      <c r="H8" s="4">
        <f t="shared" si="0"/>
        <v>3</v>
      </c>
      <c r="I8" s="4">
        <f t="shared" si="0"/>
        <v>4.875</v>
      </c>
      <c r="J8" s="4">
        <f t="shared" si="0"/>
        <v>8.25</v>
      </c>
      <c r="K8" s="4">
        <f t="shared" si="0"/>
        <v>2.25</v>
      </c>
      <c r="L8" s="4">
        <f t="shared" si="0"/>
        <v>0</v>
      </c>
      <c r="M8" s="4">
        <f t="shared" si="0"/>
        <v>0</v>
      </c>
      <c r="N8" s="10">
        <f>SUM(B8:M8)/12</f>
        <v>3.96875</v>
      </c>
    </row>
    <row r="9" spans="1:15" s="2" customFormat="1" x14ac:dyDescent="0.25">
      <c r="A9" s="14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7">
        <f>SUM(B9:M9)</f>
        <v>0</v>
      </c>
      <c r="O9" s="16"/>
    </row>
    <row r="10" spans="1:15" x14ac:dyDescent="0.25">
      <c r="B10" s="54" t="s">
        <v>231</v>
      </c>
      <c r="C10" s="54" t="s">
        <v>234</v>
      </c>
      <c r="D10" s="54" t="s">
        <v>236</v>
      </c>
      <c r="E10" s="54" t="s">
        <v>238</v>
      </c>
      <c r="F10" s="54" t="s">
        <v>241</v>
      </c>
      <c r="G10" s="54" t="s">
        <v>247</v>
      </c>
      <c r="H10" s="54" t="s">
        <v>249</v>
      </c>
      <c r="I10" s="54" t="s">
        <v>186</v>
      </c>
      <c r="J10" s="54" t="s">
        <v>251</v>
      </c>
      <c r="K10" s="54" t="s">
        <v>254</v>
      </c>
      <c r="L10" s="54"/>
      <c r="M10" s="54"/>
    </row>
    <row r="11" spans="1:15" x14ac:dyDescent="0.25">
      <c r="B11" s="54" t="s">
        <v>232</v>
      </c>
      <c r="C11" s="54" t="s">
        <v>235</v>
      </c>
      <c r="D11" s="54" t="s">
        <v>237</v>
      </c>
      <c r="E11" s="54" t="s">
        <v>239</v>
      </c>
      <c r="F11" s="54" t="s">
        <v>242</v>
      </c>
      <c r="G11" s="54" t="s">
        <v>248</v>
      </c>
      <c r="H11" s="54"/>
      <c r="I11" s="54" t="s">
        <v>185</v>
      </c>
      <c r="J11" s="54" t="s">
        <v>252</v>
      </c>
      <c r="K11" s="54"/>
      <c r="L11" s="54"/>
      <c r="M11" s="54"/>
    </row>
    <row r="12" spans="1:15" x14ac:dyDescent="0.25">
      <c r="B12" s="54" t="s">
        <v>233</v>
      </c>
      <c r="C12" s="54"/>
      <c r="D12" s="54"/>
      <c r="E12" s="54" t="s">
        <v>240</v>
      </c>
      <c r="F12" s="54" t="s">
        <v>243</v>
      </c>
      <c r="G12" s="54"/>
      <c r="H12" s="54"/>
      <c r="I12" s="54" t="s">
        <v>250</v>
      </c>
      <c r="J12" s="54" t="s">
        <v>187</v>
      </c>
      <c r="K12" s="54"/>
      <c r="L12" s="54"/>
      <c r="M12" s="54"/>
    </row>
    <row r="13" spans="1:15" x14ac:dyDescent="0.25">
      <c r="B13" s="54"/>
      <c r="C13" s="54"/>
      <c r="D13" s="54"/>
      <c r="E13" s="54"/>
      <c r="F13" s="54" t="s">
        <v>244</v>
      </c>
      <c r="G13" s="54"/>
      <c r="H13" s="54"/>
      <c r="I13" s="54" t="s">
        <v>183</v>
      </c>
      <c r="J13" s="54" t="s">
        <v>44</v>
      </c>
      <c r="K13" s="54"/>
      <c r="L13" s="54"/>
      <c r="M13" s="54"/>
    </row>
    <row r="14" spans="1:15" x14ac:dyDescent="0.25">
      <c r="B14" s="54"/>
      <c r="C14" s="54"/>
      <c r="D14" s="54"/>
      <c r="E14" s="54"/>
      <c r="F14" s="54" t="s">
        <v>245</v>
      </c>
      <c r="G14" s="54"/>
      <c r="H14" s="54"/>
      <c r="I14" s="54"/>
      <c r="J14" s="54" t="s">
        <v>253</v>
      </c>
      <c r="K14" s="54"/>
      <c r="L14" s="54"/>
      <c r="M14" s="54"/>
    </row>
    <row r="15" spans="1:15" x14ac:dyDescent="0.25">
      <c r="F15" s="54" t="s">
        <v>246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J29" sqref="J29"/>
    </sheetView>
  </sheetViews>
  <sheetFormatPr defaultRowHeight="15" x14ac:dyDescent="0.25"/>
  <sheetData>
    <row r="1" spans="1:15" ht="21" x14ac:dyDescent="0.35">
      <c r="A1" s="419" t="s">
        <v>334</v>
      </c>
      <c r="B1" s="323"/>
    </row>
    <row r="3" spans="1:15" x14ac:dyDescent="0.25">
      <c r="A3" s="400" t="s">
        <v>329</v>
      </c>
      <c r="B3" s="400"/>
      <c r="C3" s="400"/>
      <c r="D3" s="400"/>
    </row>
    <row r="4" spans="1:15" s="2" customFormat="1" x14ac:dyDescent="0.25">
      <c r="A4" s="3" t="s">
        <v>337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5" s="2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s="2" customFormat="1" x14ac:dyDescent="0.25">
      <c r="A6" s="5" t="s">
        <v>15</v>
      </c>
      <c r="B6" s="6">
        <f>36+57+1</f>
        <v>94</v>
      </c>
      <c r="C6" s="4">
        <v>98</v>
      </c>
      <c r="D6" s="4">
        <v>100</v>
      </c>
      <c r="E6" s="4">
        <v>104</v>
      </c>
      <c r="F6" s="4">
        <v>111</v>
      </c>
      <c r="G6" s="7">
        <v>114</v>
      </c>
      <c r="H6" s="4">
        <v>117</v>
      </c>
      <c r="I6" s="4">
        <v>121</v>
      </c>
      <c r="J6" s="4">
        <v>122</v>
      </c>
      <c r="K6" s="4">
        <v>126</v>
      </c>
      <c r="L6" s="4">
        <v>130</v>
      </c>
      <c r="M6" s="4">
        <v>136</v>
      </c>
      <c r="N6" s="8">
        <f>SUM(B6:M6)/12</f>
        <v>114.41666666666667</v>
      </c>
    </row>
    <row r="7" spans="1:15" s="2" customFormat="1" x14ac:dyDescent="0.25">
      <c r="A7" s="5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f>SUM(B7:M7)/12</f>
        <v>0</v>
      </c>
    </row>
    <row r="8" spans="1:15" s="2" customFormat="1" x14ac:dyDescent="0.25">
      <c r="A8" s="5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>
        <f>SUM(B8:M8)/12</f>
        <v>0</v>
      </c>
    </row>
    <row r="9" spans="1:15" s="2" customFormat="1" x14ac:dyDescent="0.25">
      <c r="A9" s="5"/>
      <c r="B9" s="11"/>
      <c r="C9" s="11"/>
      <c r="D9" s="11"/>
      <c r="E9" s="11"/>
      <c r="F9" s="11"/>
      <c r="G9" s="11"/>
      <c r="H9" s="9"/>
      <c r="I9" s="11"/>
      <c r="J9" s="11"/>
      <c r="K9" s="11"/>
      <c r="L9" s="11"/>
      <c r="M9" s="11"/>
      <c r="N9" s="12"/>
      <c r="O9" s="13"/>
    </row>
    <row r="10" spans="1:15" s="2" customFormat="1" x14ac:dyDescent="0.25">
      <c r="A10" s="3" t="s">
        <v>62</v>
      </c>
      <c r="B10" s="4">
        <f t="shared" ref="B10:M10" si="0">B6+(B8*1.5)+(B7*0.8)</f>
        <v>94</v>
      </c>
      <c r="C10" s="4">
        <f t="shared" si="0"/>
        <v>98</v>
      </c>
      <c r="D10" s="4">
        <f t="shared" si="0"/>
        <v>100</v>
      </c>
      <c r="E10" s="4">
        <f t="shared" si="0"/>
        <v>104</v>
      </c>
      <c r="F10" s="4">
        <f t="shared" si="0"/>
        <v>111</v>
      </c>
      <c r="G10" s="4">
        <f t="shared" si="0"/>
        <v>114</v>
      </c>
      <c r="H10" s="4">
        <f t="shared" si="0"/>
        <v>117</v>
      </c>
      <c r="I10" s="4">
        <f t="shared" si="0"/>
        <v>121</v>
      </c>
      <c r="J10" s="4">
        <f t="shared" si="0"/>
        <v>122</v>
      </c>
      <c r="K10" s="4">
        <f t="shared" si="0"/>
        <v>126</v>
      </c>
      <c r="L10" s="4">
        <f t="shared" si="0"/>
        <v>130</v>
      </c>
      <c r="M10" s="4">
        <f t="shared" si="0"/>
        <v>136</v>
      </c>
      <c r="N10" s="10">
        <f>SUM(B10:M10)/12</f>
        <v>114.41666666666667</v>
      </c>
    </row>
    <row r="11" spans="1:15" s="2" customFormat="1" x14ac:dyDescent="0.25">
      <c r="A11" s="14" t="s">
        <v>19</v>
      </c>
      <c r="B11" s="15">
        <v>1</v>
      </c>
      <c r="C11" s="16">
        <v>4</v>
      </c>
      <c r="D11" s="16">
        <v>2</v>
      </c>
      <c r="E11" s="16">
        <v>4</v>
      </c>
      <c r="F11" s="16">
        <v>7</v>
      </c>
      <c r="G11" s="16">
        <v>3</v>
      </c>
      <c r="H11" s="16">
        <v>3</v>
      </c>
      <c r="I11" s="16">
        <v>4</v>
      </c>
      <c r="J11" s="16">
        <v>1</v>
      </c>
      <c r="K11" s="16">
        <v>4</v>
      </c>
      <c r="L11" s="16">
        <v>4</v>
      </c>
      <c r="M11" s="16">
        <v>6</v>
      </c>
      <c r="N11" s="17">
        <f>SUM(B11:M11)</f>
        <v>43</v>
      </c>
      <c r="O11" s="16"/>
    </row>
    <row r="12" spans="1:15" x14ac:dyDescent="0.25">
      <c r="B12" s="47"/>
      <c r="F12" s="112" t="s">
        <v>338</v>
      </c>
    </row>
    <row r="14" spans="1:15" x14ac:dyDescent="0.25">
      <c r="A14" s="392" t="s">
        <v>327</v>
      </c>
      <c r="B14" s="392"/>
      <c r="C14" s="392"/>
      <c r="D14" s="392"/>
    </row>
    <row r="15" spans="1:15" s="2" customFormat="1" x14ac:dyDescent="0.25">
      <c r="A15" s="3" t="s">
        <v>337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  <c r="N15" s="5" t="s">
        <v>14</v>
      </c>
    </row>
    <row r="16" spans="1:15" s="2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s="2" customFormat="1" x14ac:dyDescent="0.25">
      <c r="A17" s="5" t="s">
        <v>15</v>
      </c>
      <c r="B17" s="6">
        <f>136-37+2</f>
        <v>101</v>
      </c>
      <c r="C17" s="4">
        <v>101</v>
      </c>
      <c r="D17" s="4">
        <v>102</v>
      </c>
      <c r="E17" s="4">
        <v>104</v>
      </c>
      <c r="F17" s="4">
        <v>107</v>
      </c>
      <c r="G17" s="7">
        <v>112</v>
      </c>
      <c r="H17" s="4">
        <v>113</v>
      </c>
      <c r="I17" s="4">
        <v>116</v>
      </c>
      <c r="J17" s="4">
        <v>119</v>
      </c>
      <c r="K17" s="4">
        <v>122</v>
      </c>
      <c r="L17" s="4">
        <v>124</v>
      </c>
      <c r="M17" s="4">
        <v>125</v>
      </c>
      <c r="N17" s="8">
        <f>SUM(B17:M17)/12</f>
        <v>112.16666666666667</v>
      </c>
    </row>
    <row r="18" spans="1:15" s="2" customFormat="1" x14ac:dyDescent="0.25">
      <c r="A18" s="5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>SUM(B18:M18)/12</f>
        <v>0</v>
      </c>
    </row>
    <row r="19" spans="1:15" s="2" customFormat="1" x14ac:dyDescent="0.25">
      <c r="A19" s="5" t="s">
        <v>17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f>SUM(B19:M19)/12</f>
        <v>0</v>
      </c>
    </row>
    <row r="20" spans="1:15" s="2" customFormat="1" x14ac:dyDescent="0.25">
      <c r="A20" s="5"/>
      <c r="B20" s="11"/>
      <c r="C20" s="11"/>
      <c r="D20" s="11"/>
      <c r="E20" s="11"/>
      <c r="F20" s="11"/>
      <c r="G20" s="11"/>
      <c r="H20" s="9"/>
      <c r="I20" s="11"/>
      <c r="J20" s="11"/>
      <c r="K20" s="11"/>
      <c r="L20" s="11"/>
      <c r="M20" s="11"/>
      <c r="N20" s="12"/>
      <c r="O20" s="13"/>
    </row>
    <row r="21" spans="1:15" s="2" customFormat="1" x14ac:dyDescent="0.25">
      <c r="A21" s="3" t="s">
        <v>335</v>
      </c>
      <c r="B21" s="4">
        <f t="shared" ref="B21:M21" si="1">B17+(B19*1.5)+(B18*0.8)</f>
        <v>101</v>
      </c>
      <c r="C21" s="4">
        <f t="shared" si="1"/>
        <v>101</v>
      </c>
      <c r="D21" s="4">
        <f t="shared" si="1"/>
        <v>102</v>
      </c>
      <c r="E21" s="4">
        <f t="shared" si="1"/>
        <v>104</v>
      </c>
      <c r="F21" s="4">
        <f t="shared" si="1"/>
        <v>107</v>
      </c>
      <c r="G21" s="4">
        <f t="shared" si="1"/>
        <v>112</v>
      </c>
      <c r="H21" s="4">
        <f t="shared" si="1"/>
        <v>113</v>
      </c>
      <c r="I21" s="4">
        <f t="shared" si="1"/>
        <v>116</v>
      </c>
      <c r="J21" s="4">
        <f t="shared" si="1"/>
        <v>119</v>
      </c>
      <c r="K21" s="4">
        <f t="shared" si="1"/>
        <v>122</v>
      </c>
      <c r="L21" s="4">
        <f t="shared" si="1"/>
        <v>124</v>
      </c>
      <c r="M21" s="4">
        <f t="shared" si="1"/>
        <v>125</v>
      </c>
      <c r="N21" s="10">
        <f>SUM(B21:M21)/12</f>
        <v>112.16666666666667</v>
      </c>
    </row>
    <row r="22" spans="1:15" s="2" customFormat="1" x14ac:dyDescent="0.25">
      <c r="A22" s="14" t="s">
        <v>19</v>
      </c>
      <c r="B22" s="15">
        <v>2</v>
      </c>
      <c r="C22" s="16">
        <v>0</v>
      </c>
      <c r="D22" s="16">
        <v>1</v>
      </c>
      <c r="E22" s="16">
        <v>2</v>
      </c>
      <c r="F22" s="16">
        <v>3</v>
      </c>
      <c r="G22" s="16">
        <v>5</v>
      </c>
      <c r="H22" s="16">
        <v>1</v>
      </c>
      <c r="I22" s="16">
        <v>3</v>
      </c>
      <c r="J22" s="16">
        <v>3</v>
      </c>
      <c r="K22" s="16">
        <v>3</v>
      </c>
      <c r="L22" s="16">
        <v>2</v>
      </c>
      <c r="M22" s="16">
        <v>1</v>
      </c>
      <c r="N22" s="17">
        <f>SUM(B22:M22)</f>
        <v>26</v>
      </c>
      <c r="O22" s="16"/>
    </row>
    <row r="23" spans="1:15" x14ac:dyDescent="0.25">
      <c r="A23" s="340"/>
      <c r="B23" s="47" t="s">
        <v>339</v>
      </c>
    </row>
    <row r="24" spans="1:15" x14ac:dyDescent="0.25">
      <c r="A24" s="358" t="s">
        <v>328</v>
      </c>
      <c r="B24" s="358"/>
      <c r="C24" s="358"/>
      <c r="D24" s="358"/>
    </row>
    <row r="25" spans="1:15" s="2" customFormat="1" x14ac:dyDescent="0.25">
      <c r="A25" s="3" t="s">
        <v>337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 t="s">
        <v>13</v>
      </c>
      <c r="N25" s="5" t="s">
        <v>14</v>
      </c>
    </row>
    <row r="26" spans="1:15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5" s="2" customFormat="1" x14ac:dyDescent="0.25">
      <c r="A27" s="5" t="s">
        <v>15</v>
      </c>
      <c r="B27" s="6">
        <f>125-39+1</f>
        <v>87</v>
      </c>
      <c r="C27" s="4">
        <v>90</v>
      </c>
      <c r="D27" s="4">
        <v>94</v>
      </c>
      <c r="E27" s="4">
        <v>96</v>
      </c>
      <c r="F27" s="4">
        <v>98</v>
      </c>
      <c r="G27" s="7">
        <v>98</v>
      </c>
      <c r="H27" s="4">
        <v>100</v>
      </c>
      <c r="I27" s="4">
        <v>103</v>
      </c>
      <c r="J27" s="4">
        <v>104</v>
      </c>
      <c r="K27" s="4">
        <v>104</v>
      </c>
      <c r="L27" s="4">
        <v>104</v>
      </c>
      <c r="M27" s="4">
        <v>104</v>
      </c>
      <c r="N27" s="8">
        <f>SUM(B27:M27)/12</f>
        <v>98.5</v>
      </c>
    </row>
    <row r="28" spans="1:15" s="2" customFormat="1" x14ac:dyDescent="0.25">
      <c r="A28" s="5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>SUM(B28:M28)/12</f>
        <v>0</v>
      </c>
    </row>
    <row r="29" spans="1:15" s="2" customFormat="1" x14ac:dyDescent="0.25">
      <c r="A29" s="5" t="s">
        <v>17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>SUM(B29:M29)/12</f>
        <v>0</v>
      </c>
    </row>
    <row r="30" spans="1:15" s="2" customFormat="1" x14ac:dyDescent="0.25">
      <c r="A30" s="5"/>
      <c r="B30" s="11"/>
      <c r="C30" s="11"/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2"/>
      <c r="O30" s="13"/>
    </row>
    <row r="31" spans="1:15" s="2" customFormat="1" x14ac:dyDescent="0.25">
      <c r="A31" s="3" t="s">
        <v>336</v>
      </c>
      <c r="B31" s="4">
        <f t="shared" ref="B31:M31" si="2">B27+(B29*1.5)+(B28*0.8)</f>
        <v>87</v>
      </c>
      <c r="C31" s="4">
        <f t="shared" si="2"/>
        <v>90</v>
      </c>
      <c r="D31" s="4">
        <f t="shared" si="2"/>
        <v>94</v>
      </c>
      <c r="E31" s="4">
        <f t="shared" si="2"/>
        <v>96</v>
      </c>
      <c r="F31" s="4">
        <f t="shared" si="2"/>
        <v>98</v>
      </c>
      <c r="G31" s="4">
        <f t="shared" si="2"/>
        <v>98</v>
      </c>
      <c r="H31" s="4">
        <f t="shared" si="2"/>
        <v>100</v>
      </c>
      <c r="I31" s="4">
        <f t="shared" si="2"/>
        <v>103</v>
      </c>
      <c r="J31" s="4">
        <f t="shared" si="2"/>
        <v>104</v>
      </c>
      <c r="K31" s="4">
        <f t="shared" si="2"/>
        <v>104</v>
      </c>
      <c r="L31" s="4">
        <f t="shared" si="2"/>
        <v>104</v>
      </c>
      <c r="M31" s="4">
        <f t="shared" si="2"/>
        <v>104</v>
      </c>
      <c r="N31" s="10">
        <f>SUM(B31:M31)/12</f>
        <v>98.5</v>
      </c>
    </row>
    <row r="32" spans="1:15" s="2" customFormat="1" x14ac:dyDescent="0.25">
      <c r="A32" s="14" t="s">
        <v>19</v>
      </c>
      <c r="B32" s="15">
        <v>1</v>
      </c>
      <c r="C32" s="16">
        <v>3</v>
      </c>
      <c r="D32" s="16">
        <v>4</v>
      </c>
      <c r="E32" s="16">
        <v>2</v>
      </c>
      <c r="F32" s="16">
        <v>2</v>
      </c>
      <c r="G32" s="16">
        <v>0</v>
      </c>
      <c r="H32" s="16">
        <v>2</v>
      </c>
      <c r="I32" s="16">
        <v>3</v>
      </c>
      <c r="J32" s="16">
        <v>1</v>
      </c>
      <c r="K32" s="16">
        <v>0</v>
      </c>
      <c r="L32" s="16"/>
      <c r="M32" s="16"/>
      <c r="N32" s="17">
        <f>SUM(B32:M32)</f>
        <v>18</v>
      </c>
      <c r="O32" s="16"/>
    </row>
    <row r="33" spans="1:14" x14ac:dyDescent="0.25">
      <c r="A33" s="340"/>
      <c r="B33" s="47" t="s">
        <v>340</v>
      </c>
      <c r="L33" s="414" t="s">
        <v>332</v>
      </c>
      <c r="M33" s="113"/>
      <c r="N33" s="113"/>
    </row>
    <row r="34" spans="1:14" ht="15.75" thickBot="1" x14ac:dyDescent="0.3">
      <c r="A34" s="415"/>
      <c r="B34" s="416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</row>
  </sheetData>
  <pageMargins left="0" right="0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L40" sqref="L40"/>
    </sheetView>
  </sheetViews>
  <sheetFormatPr defaultRowHeight="15" x14ac:dyDescent="0.25"/>
  <sheetData>
    <row r="1" spans="1:15" x14ac:dyDescent="0.25">
      <c r="A1" s="340"/>
      <c r="B1" s="417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5" ht="21" x14ac:dyDescent="0.35">
      <c r="A2" s="418" t="s">
        <v>333</v>
      </c>
      <c r="B2" s="417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4" spans="1:15" x14ac:dyDescent="0.25">
      <c r="A4" s="400" t="s">
        <v>329</v>
      </c>
      <c r="B4" s="400"/>
      <c r="C4" s="400"/>
      <c r="D4" s="400"/>
    </row>
    <row r="5" spans="1:15" s="2" customFormat="1" x14ac:dyDescent="0.25">
      <c r="A5" s="3" t="s">
        <v>53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</row>
    <row r="6" spans="1:15" s="2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2" customFormat="1" x14ac:dyDescent="0.25">
      <c r="A7" s="5" t="s">
        <v>15</v>
      </c>
      <c r="B7" s="6">
        <f>41-11+1</f>
        <v>31</v>
      </c>
      <c r="C7" s="4">
        <v>31</v>
      </c>
      <c r="D7" s="4">
        <v>31</v>
      </c>
      <c r="E7" s="4">
        <v>31</v>
      </c>
      <c r="F7" s="4">
        <v>31</v>
      </c>
      <c r="G7" s="7">
        <v>32</v>
      </c>
      <c r="H7" s="4">
        <v>32</v>
      </c>
      <c r="I7" s="4">
        <v>32</v>
      </c>
      <c r="J7" s="4">
        <v>32</v>
      </c>
      <c r="K7" s="4">
        <v>33</v>
      </c>
      <c r="L7" s="4">
        <v>33</v>
      </c>
      <c r="M7" s="4">
        <v>33</v>
      </c>
      <c r="N7" s="8">
        <f>SUM(B7:M7)/12</f>
        <v>31.833333333333332</v>
      </c>
    </row>
    <row r="8" spans="1:15" s="2" customFormat="1" x14ac:dyDescent="0.25">
      <c r="A8" s="5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>SUM(B8:M8)/12</f>
        <v>0</v>
      </c>
    </row>
    <row r="9" spans="1:15" s="2" customFormat="1" x14ac:dyDescent="0.25">
      <c r="A9" s="5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>
        <f>SUM(B9:M9)/12</f>
        <v>0</v>
      </c>
    </row>
    <row r="10" spans="1:15" s="2" customFormat="1" x14ac:dyDescent="0.25">
      <c r="A10" s="5"/>
      <c r="B10" s="11"/>
      <c r="C10" s="11"/>
      <c r="D10" s="11"/>
      <c r="E10" s="11"/>
      <c r="F10" s="11"/>
      <c r="G10" s="11"/>
      <c r="H10" s="9"/>
      <c r="I10" s="11"/>
      <c r="J10" s="11"/>
      <c r="K10" s="11"/>
      <c r="L10" s="11"/>
      <c r="M10" s="11"/>
      <c r="N10" s="12"/>
      <c r="O10" s="13"/>
    </row>
    <row r="11" spans="1:15" s="2" customFormat="1" x14ac:dyDescent="0.25">
      <c r="A11" s="3" t="s">
        <v>62</v>
      </c>
      <c r="B11" s="4">
        <f t="shared" ref="B11:M11" si="0">B7+(B9*1.5)+(B8*0.8)</f>
        <v>31</v>
      </c>
      <c r="C11" s="4">
        <f t="shared" si="0"/>
        <v>31</v>
      </c>
      <c r="D11" s="4">
        <f t="shared" si="0"/>
        <v>31</v>
      </c>
      <c r="E11" s="4">
        <f t="shared" si="0"/>
        <v>31</v>
      </c>
      <c r="F11" s="4">
        <f t="shared" si="0"/>
        <v>31</v>
      </c>
      <c r="G11" s="4">
        <f t="shared" si="0"/>
        <v>32</v>
      </c>
      <c r="H11" s="4">
        <f t="shared" si="0"/>
        <v>32</v>
      </c>
      <c r="I11" s="4">
        <f t="shared" si="0"/>
        <v>32</v>
      </c>
      <c r="J11" s="4">
        <f t="shared" si="0"/>
        <v>32</v>
      </c>
      <c r="K11" s="4">
        <f t="shared" si="0"/>
        <v>33</v>
      </c>
      <c r="L11" s="4">
        <f t="shared" si="0"/>
        <v>33</v>
      </c>
      <c r="M11" s="4">
        <f t="shared" si="0"/>
        <v>33</v>
      </c>
      <c r="N11" s="10">
        <f>SUM(B11:M11)/12</f>
        <v>31.833333333333332</v>
      </c>
    </row>
    <row r="12" spans="1:15" s="2" customFormat="1" x14ac:dyDescent="0.25">
      <c r="A12" s="14" t="s">
        <v>19</v>
      </c>
      <c r="B12" s="15">
        <v>1</v>
      </c>
      <c r="C12" s="16"/>
      <c r="D12" s="16"/>
      <c r="E12" s="16"/>
      <c r="F12" s="16"/>
      <c r="G12" s="16">
        <v>1</v>
      </c>
      <c r="H12" s="16"/>
      <c r="I12" s="16"/>
      <c r="J12" s="16"/>
      <c r="K12" s="16">
        <v>1</v>
      </c>
      <c r="L12" s="16"/>
      <c r="M12" s="16"/>
      <c r="N12" s="17">
        <f>SUM(B12:M12)</f>
        <v>3</v>
      </c>
      <c r="O12" s="16"/>
    </row>
    <row r="13" spans="1:15" x14ac:dyDescent="0.25">
      <c r="B13" s="47" t="s">
        <v>291</v>
      </c>
    </row>
    <row r="15" spans="1:15" x14ac:dyDescent="0.25">
      <c r="A15" s="392" t="s">
        <v>327</v>
      </c>
      <c r="B15" s="392"/>
      <c r="C15" s="392"/>
      <c r="D15" s="392"/>
    </row>
    <row r="16" spans="1:15" s="2" customFormat="1" x14ac:dyDescent="0.25">
      <c r="A16" s="3" t="s">
        <v>53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5" t="s">
        <v>14</v>
      </c>
    </row>
    <row r="17" spans="1:15" s="2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s="2" customFormat="1" x14ac:dyDescent="0.25">
      <c r="A18" s="5" t="s">
        <v>15</v>
      </c>
      <c r="B18" s="6">
        <f>33-13</f>
        <v>20</v>
      </c>
      <c r="C18" s="4">
        <v>21</v>
      </c>
      <c r="D18" s="4">
        <v>21</v>
      </c>
      <c r="E18" s="4">
        <v>21</v>
      </c>
      <c r="F18" s="4">
        <v>21</v>
      </c>
      <c r="G18" s="7">
        <v>22</v>
      </c>
      <c r="H18" s="4">
        <v>23</v>
      </c>
      <c r="I18" s="4">
        <v>23</v>
      </c>
      <c r="J18" s="4">
        <v>23</v>
      </c>
      <c r="K18" s="4">
        <v>23</v>
      </c>
      <c r="L18" s="4">
        <v>23</v>
      </c>
      <c r="M18" s="4">
        <v>23</v>
      </c>
      <c r="N18" s="8">
        <f>SUM(B18:M18)/12</f>
        <v>22</v>
      </c>
    </row>
    <row r="19" spans="1:15" s="2" customFormat="1" x14ac:dyDescent="0.25">
      <c r="A19" s="5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>SUM(B19:M19)/12</f>
        <v>0</v>
      </c>
    </row>
    <row r="20" spans="1:15" s="2" customFormat="1" x14ac:dyDescent="0.25">
      <c r="A20" s="5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>
        <f>SUM(B20:M20)/12</f>
        <v>0</v>
      </c>
    </row>
    <row r="21" spans="1:15" s="2" customFormat="1" x14ac:dyDescent="0.25">
      <c r="A21" s="5"/>
      <c r="B21" s="11"/>
      <c r="C21" s="11"/>
      <c r="D21" s="11"/>
      <c r="E21" s="11"/>
      <c r="F21" s="11"/>
      <c r="G21" s="11"/>
      <c r="H21" s="9"/>
      <c r="I21" s="11"/>
      <c r="J21" s="11"/>
      <c r="K21" s="11"/>
      <c r="L21" s="11"/>
      <c r="M21" s="11"/>
      <c r="N21" s="12"/>
      <c r="O21" s="13"/>
    </row>
    <row r="22" spans="1:15" s="2" customFormat="1" x14ac:dyDescent="0.25">
      <c r="A22" s="3" t="s">
        <v>335</v>
      </c>
      <c r="B22" s="4">
        <f t="shared" ref="B22:M22" si="1">B18+(B20*1.5)+(B19*0.8)</f>
        <v>20</v>
      </c>
      <c r="C22" s="4">
        <f t="shared" si="1"/>
        <v>21</v>
      </c>
      <c r="D22" s="4">
        <f t="shared" si="1"/>
        <v>21</v>
      </c>
      <c r="E22" s="4">
        <f t="shared" si="1"/>
        <v>21</v>
      </c>
      <c r="F22" s="4">
        <f t="shared" si="1"/>
        <v>21</v>
      </c>
      <c r="G22" s="4">
        <f t="shared" si="1"/>
        <v>22</v>
      </c>
      <c r="H22" s="4">
        <f t="shared" si="1"/>
        <v>23</v>
      </c>
      <c r="I22" s="4">
        <f t="shared" si="1"/>
        <v>23</v>
      </c>
      <c r="J22" s="4">
        <f t="shared" si="1"/>
        <v>23</v>
      </c>
      <c r="K22" s="4">
        <f t="shared" si="1"/>
        <v>23</v>
      </c>
      <c r="L22" s="4">
        <f t="shared" si="1"/>
        <v>23</v>
      </c>
      <c r="M22" s="4">
        <f t="shared" si="1"/>
        <v>23</v>
      </c>
      <c r="N22" s="10">
        <f>SUM(B22:M22)/12</f>
        <v>22</v>
      </c>
    </row>
    <row r="23" spans="1:15" s="2" customFormat="1" x14ac:dyDescent="0.25">
      <c r="A23" s="14" t="s">
        <v>19</v>
      </c>
      <c r="B23" s="15"/>
      <c r="C23" s="16">
        <v>1</v>
      </c>
      <c r="D23" s="16"/>
      <c r="E23" s="16"/>
      <c r="F23" s="16"/>
      <c r="G23" s="16">
        <v>1</v>
      </c>
      <c r="H23" s="16">
        <v>1</v>
      </c>
      <c r="I23" s="16"/>
      <c r="J23" s="16"/>
      <c r="K23" s="16"/>
      <c r="L23" s="16"/>
      <c r="M23" s="16"/>
      <c r="N23" s="17">
        <f>SUM(B23:M23)</f>
        <v>3</v>
      </c>
      <c r="O23" s="16"/>
    </row>
    <row r="24" spans="1:15" x14ac:dyDescent="0.25">
      <c r="B24" s="47" t="s">
        <v>330</v>
      </c>
    </row>
    <row r="26" spans="1:15" x14ac:dyDescent="0.25">
      <c r="A26" s="358" t="s">
        <v>328</v>
      </c>
      <c r="B26" s="358"/>
      <c r="C26" s="358"/>
      <c r="D26" s="358"/>
    </row>
    <row r="27" spans="1:15" s="2" customFormat="1" x14ac:dyDescent="0.25">
      <c r="A27" s="3" t="s">
        <v>53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4" t="s">
        <v>12</v>
      </c>
      <c r="M27" s="4" t="s">
        <v>13</v>
      </c>
      <c r="N27" s="5" t="s">
        <v>14</v>
      </c>
    </row>
    <row r="28" spans="1:15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s="2" customFormat="1" x14ac:dyDescent="0.25">
      <c r="A29" s="5" t="s">
        <v>15</v>
      </c>
      <c r="B29" s="6">
        <f>23-11+1</f>
        <v>13</v>
      </c>
      <c r="C29" s="4">
        <v>13</v>
      </c>
      <c r="D29" s="4">
        <v>15</v>
      </c>
      <c r="E29" s="4">
        <v>17</v>
      </c>
      <c r="F29" s="4">
        <v>17</v>
      </c>
      <c r="G29" s="7">
        <v>18</v>
      </c>
      <c r="H29" s="4">
        <v>18</v>
      </c>
      <c r="I29" s="4">
        <v>18</v>
      </c>
      <c r="J29" s="4">
        <v>18</v>
      </c>
      <c r="K29" s="4">
        <v>18</v>
      </c>
      <c r="L29" s="4">
        <v>18</v>
      </c>
      <c r="M29" s="4">
        <v>18</v>
      </c>
      <c r="N29" s="8">
        <f>SUM(B29:M29)/12</f>
        <v>16.75</v>
      </c>
    </row>
    <row r="30" spans="1:15" s="2" customFormat="1" x14ac:dyDescent="0.25">
      <c r="A30" s="5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>SUM(B30:M30)/12</f>
        <v>0</v>
      </c>
    </row>
    <row r="31" spans="1:15" s="2" customFormat="1" x14ac:dyDescent="0.25">
      <c r="A31" s="5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>SUM(B31:M31)/12</f>
        <v>0</v>
      </c>
    </row>
    <row r="32" spans="1:15" s="2" customFormat="1" x14ac:dyDescent="0.25">
      <c r="A32" s="5"/>
      <c r="B32" s="11"/>
      <c r="C32" s="11"/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2"/>
      <c r="O32" s="13"/>
    </row>
    <row r="33" spans="1:15" s="2" customFormat="1" x14ac:dyDescent="0.25">
      <c r="A33" s="3" t="s">
        <v>336</v>
      </c>
      <c r="B33" s="4">
        <f t="shared" ref="B33:M33" si="2">B29+(B31*1.5)+(B30*0.8)</f>
        <v>13</v>
      </c>
      <c r="C33" s="4">
        <f t="shared" si="2"/>
        <v>13</v>
      </c>
      <c r="D33" s="4">
        <f t="shared" si="2"/>
        <v>15</v>
      </c>
      <c r="E33" s="4">
        <f t="shared" si="2"/>
        <v>17</v>
      </c>
      <c r="F33" s="4">
        <f t="shared" si="2"/>
        <v>17</v>
      </c>
      <c r="G33" s="4">
        <f t="shared" si="2"/>
        <v>18</v>
      </c>
      <c r="H33" s="4">
        <f t="shared" si="2"/>
        <v>18</v>
      </c>
      <c r="I33" s="4">
        <f t="shared" si="2"/>
        <v>18</v>
      </c>
      <c r="J33" s="4">
        <f t="shared" si="2"/>
        <v>18</v>
      </c>
      <c r="K33" s="4">
        <f t="shared" si="2"/>
        <v>18</v>
      </c>
      <c r="L33" s="4">
        <f t="shared" si="2"/>
        <v>18</v>
      </c>
      <c r="M33" s="4">
        <f t="shared" si="2"/>
        <v>18</v>
      </c>
      <c r="N33" s="10">
        <f>SUM(B33:M33)/12</f>
        <v>16.75</v>
      </c>
    </row>
    <row r="34" spans="1:15" s="2" customFormat="1" x14ac:dyDescent="0.25">
      <c r="A34" s="14" t="s">
        <v>19</v>
      </c>
      <c r="B34" s="15">
        <v>1</v>
      </c>
      <c r="C34" s="16"/>
      <c r="D34" s="16">
        <v>2</v>
      </c>
      <c r="E34" s="16">
        <v>2</v>
      </c>
      <c r="F34" s="16"/>
      <c r="G34" s="16">
        <v>1</v>
      </c>
      <c r="H34" s="16"/>
      <c r="I34" s="16"/>
      <c r="J34" s="16"/>
      <c r="K34" s="16"/>
      <c r="L34" s="16"/>
      <c r="M34" s="16"/>
      <c r="N34" s="17">
        <f>SUM(B34:M34)</f>
        <v>6</v>
      </c>
      <c r="O34" s="16"/>
    </row>
    <row r="35" spans="1:15" x14ac:dyDescent="0.25">
      <c r="B35" s="47" t="s">
        <v>331</v>
      </c>
      <c r="L35" s="414" t="s">
        <v>332</v>
      </c>
      <c r="M35" s="113"/>
      <c r="N35" s="113"/>
    </row>
  </sheetData>
  <pageMargins left="0" right="0" top="0.74803149606299213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T21" sqref="T21"/>
    </sheetView>
  </sheetViews>
  <sheetFormatPr defaultRowHeight="15" x14ac:dyDescent="0.25"/>
  <sheetData>
    <row r="1" spans="1:15" x14ac:dyDescent="0.25">
      <c r="A1" s="400" t="s">
        <v>329</v>
      </c>
      <c r="B1" s="400"/>
      <c r="C1" s="400"/>
      <c r="D1" s="400"/>
    </row>
    <row r="2" spans="1:15" s="2" customFormat="1" x14ac:dyDescent="0.25">
      <c r="A2" s="3" t="s">
        <v>26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5" s="2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2" customFormat="1" x14ac:dyDescent="0.25">
      <c r="A4" s="5" t="s">
        <v>15</v>
      </c>
      <c r="B4" s="6">
        <v>37</v>
      </c>
      <c r="C4" s="4">
        <v>38</v>
      </c>
      <c r="D4" s="4">
        <v>40</v>
      </c>
      <c r="E4" s="4">
        <v>43</v>
      </c>
      <c r="F4" s="4">
        <v>45</v>
      </c>
      <c r="G4" s="7">
        <v>49</v>
      </c>
      <c r="H4" s="4">
        <v>52</v>
      </c>
      <c r="I4" s="4">
        <v>53</v>
      </c>
      <c r="J4" s="4">
        <v>53</v>
      </c>
      <c r="K4" s="4">
        <v>56</v>
      </c>
      <c r="L4" s="4">
        <v>58</v>
      </c>
      <c r="M4" s="4">
        <v>61</v>
      </c>
      <c r="N4" s="8">
        <f>SUM(B4:M4)/12</f>
        <v>48.75</v>
      </c>
    </row>
    <row r="5" spans="1:15" s="2" customFormat="1" x14ac:dyDescent="0.25">
      <c r="A5" s="5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>
        <f>SUM(B5:M5)/12</f>
        <v>0</v>
      </c>
    </row>
    <row r="6" spans="1:15" s="2" customFormat="1" x14ac:dyDescent="0.25">
      <c r="A6" s="5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>
        <f>SUM(B6:M6)/12</f>
        <v>0</v>
      </c>
    </row>
    <row r="7" spans="1:15" s="2" customFormat="1" x14ac:dyDescent="0.25">
      <c r="A7" s="5"/>
      <c r="B7" s="11"/>
      <c r="C7" s="11"/>
      <c r="D7" s="11"/>
      <c r="E7" s="11"/>
      <c r="F7" s="11"/>
      <c r="G7" s="11"/>
      <c r="H7" s="9"/>
      <c r="I7" s="11"/>
      <c r="J7" s="11"/>
      <c r="K7" s="11"/>
      <c r="L7" s="11"/>
      <c r="M7" s="11"/>
      <c r="N7" s="12"/>
      <c r="O7" s="13"/>
    </row>
    <row r="8" spans="1:15" s="2" customFormat="1" x14ac:dyDescent="0.25">
      <c r="A8" s="3" t="s">
        <v>62</v>
      </c>
      <c r="B8" s="4">
        <f>B4+(B6*1.5)+(B5*0.8)</f>
        <v>37</v>
      </c>
      <c r="C8" s="4">
        <f>C4+(C6*1.5)+(C5*0.8)</f>
        <v>38</v>
      </c>
      <c r="D8" s="4">
        <f>D4+(D6*1.5)+(D5*0.8)</f>
        <v>40</v>
      </c>
      <c r="E8" s="4">
        <f>E4+(E6*1.5)+(E5*0.8)</f>
        <v>43</v>
      </c>
      <c r="F8" s="4">
        <f>F4+(F6*1.5)+(F5*0.8)</f>
        <v>45</v>
      </c>
      <c r="G8" s="4">
        <f t="shared" ref="G8:M8" si="0">G4+(G6*1.5)+(G5*0.8)</f>
        <v>49</v>
      </c>
      <c r="H8" s="4">
        <f t="shared" si="0"/>
        <v>52</v>
      </c>
      <c r="I8" s="4">
        <f t="shared" si="0"/>
        <v>53</v>
      </c>
      <c r="J8" s="4">
        <f t="shared" si="0"/>
        <v>53</v>
      </c>
      <c r="K8" s="4">
        <f t="shared" si="0"/>
        <v>56</v>
      </c>
      <c r="L8" s="4">
        <f t="shared" si="0"/>
        <v>58</v>
      </c>
      <c r="M8" s="4">
        <f t="shared" si="0"/>
        <v>61</v>
      </c>
      <c r="N8" s="10">
        <f>SUM(B8:M8)/12</f>
        <v>48.75</v>
      </c>
    </row>
    <row r="9" spans="1:15" s="2" customFormat="1" x14ac:dyDescent="0.25">
      <c r="A9" s="14" t="s">
        <v>19</v>
      </c>
      <c r="B9" s="15"/>
      <c r="C9" s="16">
        <v>1</v>
      </c>
      <c r="D9" s="16">
        <v>2</v>
      </c>
      <c r="E9" s="16">
        <v>3</v>
      </c>
      <c r="F9" s="16">
        <v>2</v>
      </c>
      <c r="G9" s="16">
        <v>4</v>
      </c>
      <c r="H9" s="16">
        <v>3</v>
      </c>
      <c r="I9" s="16">
        <v>1</v>
      </c>
      <c r="J9" s="16">
        <v>0</v>
      </c>
      <c r="K9" s="16">
        <v>3</v>
      </c>
      <c r="L9" s="16">
        <v>2</v>
      </c>
      <c r="M9" s="16">
        <v>3</v>
      </c>
      <c r="N9" s="17">
        <f>SUM(B9:M9)</f>
        <v>24</v>
      </c>
      <c r="O9" s="16"/>
    </row>
    <row r="10" spans="1:15" x14ac:dyDescent="0.25">
      <c r="B10" t="s">
        <v>55</v>
      </c>
    </row>
    <row r="11" spans="1:15" x14ac:dyDescent="0.25">
      <c r="B11" s="21" t="s">
        <v>326</v>
      </c>
    </row>
    <row r="12" spans="1:15" x14ac:dyDescent="0.25">
      <c r="B12" s="21" t="s">
        <v>344</v>
      </c>
    </row>
    <row r="14" spans="1:15" x14ac:dyDescent="0.25">
      <c r="A14" s="392" t="s">
        <v>327</v>
      </c>
      <c r="B14" s="392"/>
      <c r="C14" s="392"/>
      <c r="D14" s="392"/>
    </row>
    <row r="15" spans="1:15" s="2" customFormat="1" x14ac:dyDescent="0.25">
      <c r="A15" s="3" t="s">
        <v>26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  <c r="N15" s="5" t="s">
        <v>14</v>
      </c>
    </row>
    <row r="16" spans="1:15" s="2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s="2" customFormat="1" x14ac:dyDescent="0.25">
      <c r="A17" s="5" t="s">
        <v>15</v>
      </c>
      <c r="B17" s="6">
        <f>61-18</f>
        <v>43</v>
      </c>
      <c r="C17" s="4">
        <v>43</v>
      </c>
      <c r="D17" s="4">
        <v>43</v>
      </c>
      <c r="E17" s="4">
        <v>43</v>
      </c>
      <c r="F17" s="4">
        <v>44</v>
      </c>
      <c r="G17" s="7">
        <v>46</v>
      </c>
      <c r="H17" s="4">
        <v>47</v>
      </c>
      <c r="I17" s="4">
        <v>49</v>
      </c>
      <c r="J17" s="4">
        <v>50</v>
      </c>
      <c r="K17" s="4">
        <v>51</v>
      </c>
      <c r="L17" s="4">
        <v>52</v>
      </c>
      <c r="M17" s="4">
        <v>52</v>
      </c>
      <c r="N17" s="8">
        <f>SUM(B17:M17)/12</f>
        <v>46.916666666666664</v>
      </c>
    </row>
    <row r="18" spans="1:15" s="2" customFormat="1" x14ac:dyDescent="0.25">
      <c r="A18" s="5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>SUM(B18:M18)/12</f>
        <v>0</v>
      </c>
    </row>
    <row r="19" spans="1:15" s="2" customFormat="1" x14ac:dyDescent="0.25">
      <c r="A19" s="5" t="s">
        <v>17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f>SUM(B19:M19)/12</f>
        <v>0</v>
      </c>
    </row>
    <row r="20" spans="1:15" s="2" customFormat="1" x14ac:dyDescent="0.25">
      <c r="A20" s="5"/>
      <c r="B20" s="11"/>
      <c r="C20" s="11"/>
      <c r="D20" s="11"/>
      <c r="E20" s="11"/>
      <c r="F20" s="11"/>
      <c r="G20" s="11"/>
      <c r="H20" s="9"/>
      <c r="I20" s="11"/>
      <c r="J20" s="11"/>
      <c r="K20" s="11"/>
      <c r="L20" s="11"/>
      <c r="M20" s="11"/>
      <c r="N20" s="12"/>
      <c r="O20" s="13"/>
    </row>
    <row r="21" spans="1:15" s="2" customFormat="1" x14ac:dyDescent="0.25">
      <c r="A21" s="3" t="s">
        <v>335</v>
      </c>
      <c r="B21" s="4">
        <f t="shared" ref="B21:M21" si="1">B17+(B19*1.5)+(B18*0.8)</f>
        <v>43</v>
      </c>
      <c r="C21" s="4">
        <f t="shared" si="1"/>
        <v>43</v>
      </c>
      <c r="D21" s="4">
        <f t="shared" si="1"/>
        <v>43</v>
      </c>
      <c r="E21" s="4">
        <f t="shared" si="1"/>
        <v>43</v>
      </c>
      <c r="F21" s="4">
        <f t="shared" si="1"/>
        <v>44</v>
      </c>
      <c r="G21" s="4">
        <f t="shared" si="1"/>
        <v>46</v>
      </c>
      <c r="H21" s="4">
        <f t="shared" si="1"/>
        <v>47</v>
      </c>
      <c r="I21" s="4">
        <f t="shared" si="1"/>
        <v>49</v>
      </c>
      <c r="J21" s="4">
        <f t="shared" si="1"/>
        <v>50</v>
      </c>
      <c r="K21" s="4">
        <f t="shared" si="1"/>
        <v>51</v>
      </c>
      <c r="L21" s="4">
        <f t="shared" si="1"/>
        <v>52</v>
      </c>
      <c r="M21" s="4">
        <f t="shared" si="1"/>
        <v>52</v>
      </c>
      <c r="N21" s="10">
        <f>SUM(B21:M21)/12</f>
        <v>46.916666666666664</v>
      </c>
    </row>
    <row r="22" spans="1:15" s="2" customFormat="1" x14ac:dyDescent="0.25">
      <c r="A22" s="14" t="s">
        <v>19</v>
      </c>
      <c r="B22" s="15"/>
      <c r="C22" s="16"/>
      <c r="D22" s="16"/>
      <c r="E22" s="16"/>
      <c r="F22" s="16">
        <v>1</v>
      </c>
      <c r="G22" s="16">
        <v>2</v>
      </c>
      <c r="H22" s="16">
        <v>1</v>
      </c>
      <c r="I22" s="16">
        <v>2</v>
      </c>
      <c r="J22" s="16">
        <v>1</v>
      </c>
      <c r="K22" s="16">
        <v>1</v>
      </c>
      <c r="L22" s="16">
        <v>1</v>
      </c>
      <c r="M22" s="16"/>
      <c r="N22" s="17">
        <f>SUM(B22:M22)</f>
        <v>9</v>
      </c>
      <c r="O22" s="16"/>
    </row>
    <row r="23" spans="1:15" x14ac:dyDescent="0.25">
      <c r="B23" s="47" t="s">
        <v>341</v>
      </c>
    </row>
    <row r="25" spans="1:15" x14ac:dyDescent="0.25">
      <c r="A25" s="358" t="s">
        <v>328</v>
      </c>
      <c r="B25" s="358"/>
      <c r="C25" s="358"/>
      <c r="D25" s="358"/>
    </row>
    <row r="26" spans="1:15" s="2" customFormat="1" x14ac:dyDescent="0.25">
      <c r="A26" s="3" t="s">
        <v>26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5" t="s">
        <v>14</v>
      </c>
    </row>
    <row r="27" spans="1:15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5" s="2" customFormat="1" x14ac:dyDescent="0.25">
      <c r="A28" s="5" t="s">
        <v>15</v>
      </c>
      <c r="B28" s="6">
        <f>52-16</f>
        <v>36</v>
      </c>
      <c r="C28" s="4">
        <v>37</v>
      </c>
      <c r="D28" s="4">
        <v>37</v>
      </c>
      <c r="E28" s="4">
        <v>38</v>
      </c>
      <c r="F28" s="4">
        <v>38</v>
      </c>
      <c r="G28" s="7">
        <v>38</v>
      </c>
      <c r="H28" s="4">
        <v>38</v>
      </c>
      <c r="I28" s="4">
        <v>39</v>
      </c>
      <c r="J28" s="4">
        <v>40</v>
      </c>
      <c r="K28" s="4">
        <v>40</v>
      </c>
      <c r="L28" s="4">
        <v>40</v>
      </c>
      <c r="M28" s="4">
        <v>40</v>
      </c>
      <c r="N28" s="8">
        <f>SUM(B28:M28)/12</f>
        <v>38.416666666666664</v>
      </c>
    </row>
    <row r="29" spans="1:15" s="2" customFormat="1" x14ac:dyDescent="0.25">
      <c r="A29" s="5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>SUM(B29:M29)/12</f>
        <v>0</v>
      </c>
    </row>
    <row r="30" spans="1:15" s="2" customFormat="1" x14ac:dyDescent="0.25">
      <c r="A30" s="5" t="s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f>SUM(B30:M30)/12</f>
        <v>0</v>
      </c>
    </row>
    <row r="31" spans="1:15" s="2" customFormat="1" x14ac:dyDescent="0.25">
      <c r="A31" s="5"/>
      <c r="B31" s="11"/>
      <c r="C31" s="11"/>
      <c r="D31" s="11"/>
      <c r="E31" s="11"/>
      <c r="F31" s="11"/>
      <c r="G31" s="11"/>
      <c r="H31" s="9"/>
      <c r="I31" s="11"/>
      <c r="J31" s="11"/>
      <c r="K31" s="11"/>
      <c r="L31" s="11"/>
      <c r="M31" s="11"/>
      <c r="N31" s="12"/>
      <c r="O31" s="13"/>
    </row>
    <row r="32" spans="1:15" s="2" customFormat="1" x14ac:dyDescent="0.25">
      <c r="A32" s="3" t="s">
        <v>336</v>
      </c>
      <c r="B32" s="4">
        <f t="shared" ref="B32:M32" si="2">B28+(B30*1.5)+(B29*0.8)</f>
        <v>36</v>
      </c>
      <c r="C32" s="4">
        <f t="shared" si="2"/>
        <v>37</v>
      </c>
      <c r="D32" s="4">
        <f t="shared" si="2"/>
        <v>37</v>
      </c>
      <c r="E32" s="4">
        <f t="shared" si="2"/>
        <v>38</v>
      </c>
      <c r="F32" s="4">
        <f t="shared" si="2"/>
        <v>38</v>
      </c>
      <c r="G32" s="4">
        <f t="shared" si="2"/>
        <v>38</v>
      </c>
      <c r="H32" s="4">
        <f t="shared" si="2"/>
        <v>38</v>
      </c>
      <c r="I32" s="4">
        <f t="shared" si="2"/>
        <v>39</v>
      </c>
      <c r="J32" s="4">
        <f t="shared" si="2"/>
        <v>40</v>
      </c>
      <c r="K32" s="4">
        <f t="shared" si="2"/>
        <v>40</v>
      </c>
      <c r="L32" s="4">
        <f t="shared" si="2"/>
        <v>40</v>
      </c>
      <c r="M32" s="4">
        <f t="shared" si="2"/>
        <v>40</v>
      </c>
      <c r="N32" s="10">
        <f>SUM(B32:M32)/12</f>
        <v>38.416666666666664</v>
      </c>
    </row>
    <row r="33" spans="1:15" s="2" customFormat="1" x14ac:dyDescent="0.25">
      <c r="A33" s="14" t="s">
        <v>19</v>
      </c>
      <c r="B33" s="15"/>
      <c r="C33" s="16">
        <v>1</v>
      </c>
      <c r="D33" s="16"/>
      <c r="E33" s="16">
        <v>1</v>
      </c>
      <c r="F33" s="16"/>
      <c r="G33" s="16"/>
      <c r="H33" s="16"/>
      <c r="I33" s="16">
        <v>1</v>
      </c>
      <c r="J33" s="16">
        <v>1</v>
      </c>
      <c r="K33" s="16"/>
      <c r="L33" s="16"/>
      <c r="M33" s="16"/>
      <c r="N33" s="17">
        <f>SUM(B33:M33)</f>
        <v>4</v>
      </c>
      <c r="O33" s="16"/>
    </row>
    <row r="34" spans="1:15" x14ac:dyDescent="0.25">
      <c r="B34" s="47" t="s">
        <v>342</v>
      </c>
      <c r="L34" s="414" t="s">
        <v>332</v>
      </c>
      <c r="M34" s="113"/>
      <c r="N34" s="113"/>
    </row>
    <row r="36" spans="1:15" x14ac:dyDescent="0.25">
      <c r="A36" s="357" t="s">
        <v>343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selection activeCell="K11" sqref="K11"/>
    </sheetView>
  </sheetViews>
  <sheetFormatPr defaultRowHeight="15" x14ac:dyDescent="0.25"/>
  <sheetData>
    <row r="1" spans="1:21" x14ac:dyDescent="0.25">
      <c r="A1" s="38" t="s">
        <v>35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1" x14ac:dyDescent="0.25">
      <c r="A2" s="39" t="s">
        <v>50</v>
      </c>
      <c r="B2" s="40"/>
      <c r="C2" s="4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1" x14ac:dyDescent="0.25">
      <c r="A3" s="28" t="s">
        <v>26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30" t="s">
        <v>14</v>
      </c>
    </row>
    <row r="4" spans="1:2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1" x14ac:dyDescent="0.25">
      <c r="A5" s="30" t="s">
        <v>15</v>
      </c>
      <c r="B5" s="32">
        <v>41</v>
      </c>
      <c r="C5" s="58">
        <f>41+1+0.75</f>
        <v>42.75</v>
      </c>
      <c r="D5" s="58">
        <f>43-1</f>
        <v>42</v>
      </c>
      <c r="E5" s="58">
        <v>46</v>
      </c>
      <c r="F5" s="58">
        <v>47</v>
      </c>
      <c r="G5" s="386">
        <f>47+0.5+0.75</f>
        <v>48.25</v>
      </c>
      <c r="H5" s="58">
        <v>49</v>
      </c>
      <c r="I5" s="58">
        <v>50</v>
      </c>
      <c r="J5" s="58">
        <v>50</v>
      </c>
      <c r="K5" s="58">
        <v>50</v>
      </c>
      <c r="L5" s="41">
        <v>51</v>
      </c>
      <c r="M5" s="4">
        <v>51</v>
      </c>
      <c r="N5" s="8">
        <f>SUM(B5:M5)/12</f>
        <v>47.333333333333336</v>
      </c>
      <c r="P5" s="61"/>
      <c r="Q5" s="61"/>
      <c r="R5" s="61"/>
      <c r="S5" s="61"/>
      <c r="T5" s="61"/>
      <c r="U5" s="61"/>
    </row>
    <row r="6" spans="1:21" x14ac:dyDescent="0.25">
      <c r="A6" s="30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3"/>
      <c r="M6" s="9"/>
      <c r="N6" s="10">
        <f>SUM(B6:M6)/12</f>
        <v>0</v>
      </c>
    </row>
    <row r="7" spans="1:21" x14ac:dyDescent="0.25">
      <c r="A7" s="30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</row>
    <row r="8" spans="1:21" x14ac:dyDescent="0.25">
      <c r="A8" s="30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</row>
    <row r="9" spans="1:21" x14ac:dyDescent="0.25">
      <c r="A9" s="28" t="s">
        <v>18</v>
      </c>
      <c r="B9" s="4">
        <f>B5+(B7*1.5)+(B6*0.8)</f>
        <v>41</v>
      </c>
      <c r="C9" s="4">
        <f>C5+(C7*1.5)+(C6*0.8)</f>
        <v>42.75</v>
      </c>
      <c r="D9" s="4">
        <f>D5+(D7*1.5)+(D6*0.8)</f>
        <v>42</v>
      </c>
      <c r="E9" s="4">
        <f>E5+(E7*1.5)+(E6*0.8)</f>
        <v>46</v>
      </c>
      <c r="F9" s="4">
        <f>F5+(F7*1.5)+(F6*0.8)</f>
        <v>47</v>
      </c>
      <c r="G9" s="4">
        <f t="shared" ref="G9:M9" si="0">G5+(G7*1.5)+(G6*0.8)</f>
        <v>48.25</v>
      </c>
      <c r="H9" s="4">
        <f t="shared" si="0"/>
        <v>49</v>
      </c>
      <c r="I9" s="4">
        <f t="shared" si="0"/>
        <v>50</v>
      </c>
      <c r="J9" s="4">
        <f t="shared" si="0"/>
        <v>50</v>
      </c>
      <c r="K9" s="4">
        <f t="shared" si="0"/>
        <v>50</v>
      </c>
      <c r="L9" s="4">
        <f t="shared" si="0"/>
        <v>51</v>
      </c>
      <c r="M9" s="4">
        <f t="shared" si="0"/>
        <v>51</v>
      </c>
      <c r="N9" s="10">
        <f>SUM(B9:M9)/12</f>
        <v>47.333333333333336</v>
      </c>
    </row>
    <row r="10" spans="1:21" x14ac:dyDescent="0.25">
      <c r="A10" s="46"/>
      <c r="B10" s="47">
        <v>1</v>
      </c>
      <c r="C10" s="47">
        <v>2</v>
      </c>
      <c r="D10" s="47"/>
      <c r="E10" s="47">
        <v>4</v>
      </c>
      <c r="F10" s="47">
        <v>1</v>
      </c>
      <c r="G10" s="47">
        <v>2</v>
      </c>
      <c r="H10" s="47">
        <v>0</v>
      </c>
      <c r="I10" s="47">
        <v>1</v>
      </c>
      <c r="J10" s="47">
        <v>0</v>
      </c>
      <c r="K10" s="47">
        <v>0</v>
      </c>
      <c r="L10" s="47">
        <v>1</v>
      </c>
      <c r="M10" s="47">
        <v>0</v>
      </c>
      <c r="N10" s="48">
        <f>SUM(B10:M10)</f>
        <v>12</v>
      </c>
    </row>
    <row r="11" spans="1:21" x14ac:dyDescent="0.25">
      <c r="A11" s="47"/>
      <c r="B11" s="47"/>
      <c r="C11" s="47" t="s">
        <v>42</v>
      </c>
      <c r="D11" s="47" t="s">
        <v>38</v>
      </c>
      <c r="E11" s="47"/>
      <c r="F11" s="47" t="s">
        <v>139</v>
      </c>
      <c r="G11" s="47" t="s">
        <v>211</v>
      </c>
      <c r="H11" s="336"/>
      <c r="I11" s="336"/>
      <c r="J11" s="336"/>
      <c r="K11" s="336"/>
      <c r="L11" s="336"/>
      <c r="M11" s="336"/>
      <c r="N11" s="47">
        <f>SUM(I11:M11)</f>
        <v>0</v>
      </c>
    </row>
    <row r="12" spans="1:21" x14ac:dyDescent="0.25">
      <c r="D12" s="47" t="s">
        <v>43</v>
      </c>
      <c r="G12" s="336" t="s">
        <v>140</v>
      </c>
      <c r="H12" s="27"/>
      <c r="I12" s="59"/>
      <c r="J12" s="59">
        <v>0</v>
      </c>
      <c r="K12" s="59"/>
      <c r="L12" s="59"/>
      <c r="M12" s="59"/>
      <c r="N12" s="60"/>
    </row>
    <row r="13" spans="1:21" s="2" customFormat="1" x14ac:dyDescent="0.25">
      <c r="A13" s="1" t="s">
        <v>0</v>
      </c>
      <c r="B13" s="20"/>
      <c r="C13" s="20"/>
      <c r="D13" s="20"/>
    </row>
    <row r="14" spans="1:21" s="2" customFormat="1" x14ac:dyDescent="0.25">
      <c r="A14" s="3" t="s">
        <v>26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5" t="s">
        <v>14</v>
      </c>
      <c r="O14" s="369">
        <v>0.95</v>
      </c>
    </row>
    <row r="15" spans="1:21" s="2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1" s="2" customFormat="1" x14ac:dyDescent="0.25">
      <c r="A16" s="5" t="s">
        <v>15</v>
      </c>
      <c r="B16" s="6">
        <f>59-1-17+1</f>
        <v>42</v>
      </c>
      <c r="C16" s="4">
        <v>43</v>
      </c>
      <c r="D16" s="4">
        <v>45</v>
      </c>
      <c r="E16" s="4">
        <v>47</v>
      </c>
      <c r="F16" s="4">
        <v>47</v>
      </c>
      <c r="G16" s="7">
        <v>47</v>
      </c>
      <c r="H16" s="4">
        <v>48</v>
      </c>
      <c r="I16" s="4">
        <v>48</v>
      </c>
      <c r="J16" s="4">
        <v>48</v>
      </c>
      <c r="K16" s="4">
        <v>48</v>
      </c>
      <c r="L16" s="4">
        <v>49</v>
      </c>
      <c r="M16" s="4">
        <v>50</v>
      </c>
      <c r="N16" s="8">
        <f>SUM(B16:M16)/12</f>
        <v>46.833333333333336</v>
      </c>
      <c r="O16" s="5"/>
    </row>
    <row r="17" spans="1:15" s="2" customFormat="1" x14ac:dyDescent="0.25">
      <c r="A17" s="5" t="s">
        <v>16</v>
      </c>
      <c r="B17" s="9">
        <f>1-1</f>
        <v>0</v>
      </c>
      <c r="C17" s="9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>SUM(B17:M17)/12</f>
        <v>0</v>
      </c>
      <c r="O17" s="5"/>
    </row>
    <row r="18" spans="1:15" s="2" customFormat="1" x14ac:dyDescent="0.25">
      <c r="A18" s="5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>
        <f>SUM(B18:M18)/12</f>
        <v>0</v>
      </c>
      <c r="O18" s="5"/>
    </row>
    <row r="19" spans="1:15" s="2" customFormat="1" x14ac:dyDescent="0.25">
      <c r="A19" s="5"/>
      <c r="B19" s="11"/>
      <c r="C19" s="11"/>
      <c r="D19" s="11"/>
      <c r="E19" s="11"/>
      <c r="F19" s="11"/>
      <c r="G19" s="11"/>
      <c r="H19" s="9"/>
      <c r="I19" s="11"/>
      <c r="J19" s="11"/>
      <c r="K19" s="11"/>
      <c r="L19" s="11"/>
      <c r="M19" s="11"/>
      <c r="N19" s="12"/>
      <c r="O19" s="5"/>
    </row>
    <row r="20" spans="1:15" s="2" customFormat="1" x14ac:dyDescent="0.25">
      <c r="A20" s="3" t="s">
        <v>18</v>
      </c>
      <c r="B20" s="4">
        <f>B16+(B18*1.5)+(B17*0.8)</f>
        <v>42</v>
      </c>
      <c r="C20" s="4">
        <f>C16+(C18*1.5)+(C17*0.8)</f>
        <v>43</v>
      </c>
      <c r="D20" s="4">
        <f>D16+(D18*1.5)+(D17*0.8)</f>
        <v>45</v>
      </c>
      <c r="E20" s="4">
        <f>E16+(E18*1.5)+(E17*0.8)</f>
        <v>47</v>
      </c>
      <c r="F20" s="4">
        <f>F16+(F18*1.5)+(F17*0.8)</f>
        <v>47</v>
      </c>
      <c r="G20" s="4">
        <f t="shared" ref="G20:M20" si="1">G16+(G18*1.5)+(G17*0.8)</f>
        <v>47</v>
      </c>
      <c r="H20" s="4">
        <f t="shared" si="1"/>
        <v>48</v>
      </c>
      <c r="I20" s="4">
        <f t="shared" si="1"/>
        <v>48</v>
      </c>
      <c r="J20" s="4">
        <f t="shared" si="1"/>
        <v>48</v>
      </c>
      <c r="K20" s="4">
        <f t="shared" si="1"/>
        <v>48</v>
      </c>
      <c r="L20" s="4">
        <f t="shared" si="1"/>
        <v>49</v>
      </c>
      <c r="M20" s="4">
        <f t="shared" si="1"/>
        <v>50</v>
      </c>
      <c r="N20" s="10">
        <f>SUM(B20:M20)/12</f>
        <v>46.833333333333336</v>
      </c>
      <c r="O20" s="371" t="s">
        <v>175</v>
      </c>
    </row>
    <row r="21" spans="1:15" s="2" customFormat="1" x14ac:dyDescent="0.25">
      <c r="A21" s="14" t="s">
        <v>19</v>
      </c>
      <c r="B21" s="15">
        <v>1</v>
      </c>
      <c r="C21" s="16">
        <v>1</v>
      </c>
      <c r="D21" s="16">
        <v>2</v>
      </c>
      <c r="E21" s="16">
        <v>2</v>
      </c>
      <c r="F21" s="16"/>
      <c r="G21" s="16"/>
      <c r="H21" s="16">
        <v>1</v>
      </c>
      <c r="I21" s="16"/>
      <c r="J21" s="16"/>
      <c r="K21" s="16"/>
      <c r="L21" s="16">
        <v>1</v>
      </c>
      <c r="M21" s="16">
        <v>1</v>
      </c>
      <c r="N21" s="17">
        <f>SUM(B21:M21)</f>
        <v>9</v>
      </c>
      <c r="O21" s="370"/>
    </row>
    <row r="22" spans="1:15" x14ac:dyDescent="0.25">
      <c r="B22" s="21" t="s">
        <v>27</v>
      </c>
      <c r="L22" t="s">
        <v>28</v>
      </c>
    </row>
    <row r="23" spans="1:15" x14ac:dyDescent="0.25">
      <c r="B23" t="s">
        <v>29</v>
      </c>
      <c r="M23" t="s">
        <v>30</v>
      </c>
    </row>
    <row r="24" spans="1:15" x14ac:dyDescent="0.25">
      <c r="B24" s="21" t="s">
        <v>31</v>
      </c>
    </row>
    <row r="25" spans="1:15" x14ac:dyDescent="0.25">
      <c r="B25" s="21"/>
    </row>
    <row r="26" spans="1:15" x14ac:dyDescent="0.25">
      <c r="A26" s="413" t="s">
        <v>325</v>
      </c>
      <c r="B26" s="413"/>
      <c r="C26" s="413"/>
      <c r="D26" s="413"/>
    </row>
    <row r="27" spans="1:15" s="2" customFormat="1" x14ac:dyDescent="0.25">
      <c r="A27" s="3" t="s">
        <v>26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4" t="s">
        <v>12</v>
      </c>
      <c r="M27" s="4" t="s">
        <v>13</v>
      </c>
      <c r="N27" s="5" t="s">
        <v>14</v>
      </c>
    </row>
    <row r="28" spans="1:15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s="2" customFormat="1" x14ac:dyDescent="0.25">
      <c r="A29" s="5" t="s">
        <v>15</v>
      </c>
      <c r="B29" s="6">
        <f>51-15</f>
        <v>36</v>
      </c>
      <c r="C29" s="4"/>
      <c r="D29" s="4"/>
      <c r="E29" s="4"/>
      <c r="F29" s="4"/>
      <c r="G29" s="7"/>
      <c r="H29" s="4"/>
      <c r="I29" s="4"/>
      <c r="J29" s="4"/>
      <c r="K29" s="4"/>
      <c r="L29" s="4"/>
      <c r="M29" s="4"/>
      <c r="N29" s="8">
        <f>SUM(B29:M29)/12</f>
        <v>3</v>
      </c>
    </row>
    <row r="30" spans="1:15" s="2" customFormat="1" x14ac:dyDescent="0.25">
      <c r="A30" s="5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>SUM(B30:M30)/12</f>
        <v>0</v>
      </c>
    </row>
    <row r="31" spans="1:15" s="2" customFormat="1" x14ac:dyDescent="0.25">
      <c r="A31" s="5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>SUM(B31:M31)/12</f>
        <v>0</v>
      </c>
    </row>
    <row r="32" spans="1:15" s="2" customFormat="1" x14ac:dyDescent="0.25">
      <c r="A32" s="5"/>
      <c r="B32" s="11"/>
      <c r="C32" s="11"/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2"/>
      <c r="O32" s="13"/>
    </row>
    <row r="33" spans="1:15" s="2" customFormat="1" x14ac:dyDescent="0.25">
      <c r="A33" s="3" t="s">
        <v>62</v>
      </c>
      <c r="B33" s="4">
        <f>B29+(B31*1.5)+(B30*0.8)</f>
        <v>36</v>
      </c>
      <c r="C33" s="4">
        <f>C29+(C31*1.5)+(C30*0.8)</f>
        <v>0</v>
      </c>
      <c r="D33" s="4">
        <f>D29+(D31*1.5)+(D30*0.8)</f>
        <v>0</v>
      </c>
      <c r="E33" s="4">
        <f>E29+(E31*1.5)+(E30*0.8)</f>
        <v>0</v>
      </c>
      <c r="F33" s="4">
        <f>F29+(F31*1.5)+(F30*0.8)</f>
        <v>0</v>
      </c>
      <c r="G33" s="4">
        <f t="shared" ref="G33:M33" si="2">G29+(G31*1.5)+(G30*0.8)</f>
        <v>0</v>
      </c>
      <c r="H33" s="4">
        <f t="shared" si="2"/>
        <v>0</v>
      </c>
      <c r="I33" s="4">
        <f t="shared" si="2"/>
        <v>0</v>
      </c>
      <c r="J33" s="4">
        <f t="shared" si="2"/>
        <v>0</v>
      </c>
      <c r="K33" s="4">
        <f t="shared" si="2"/>
        <v>0</v>
      </c>
      <c r="L33" s="4">
        <f t="shared" si="2"/>
        <v>0</v>
      </c>
      <c r="M33" s="4">
        <f t="shared" si="2"/>
        <v>0</v>
      </c>
      <c r="N33" s="10">
        <f>SUM(B33:M33)/12</f>
        <v>3</v>
      </c>
    </row>
    <row r="34" spans="1:15" s="2" customFormat="1" x14ac:dyDescent="0.25">
      <c r="A34" s="14" t="s">
        <v>19</v>
      </c>
      <c r="B34" s="15"/>
      <c r="C34" s="16">
        <v>1</v>
      </c>
      <c r="D34" s="16">
        <v>4</v>
      </c>
      <c r="E34" s="16">
        <v>3</v>
      </c>
      <c r="F34" s="16">
        <v>2</v>
      </c>
      <c r="G34" s="16">
        <v>1</v>
      </c>
      <c r="H34" s="16">
        <v>3</v>
      </c>
      <c r="I34" s="16">
        <v>1</v>
      </c>
      <c r="J34" s="16">
        <v>0</v>
      </c>
      <c r="K34" s="16">
        <v>3</v>
      </c>
      <c r="L34" s="16">
        <v>2</v>
      </c>
      <c r="M34" s="16">
        <v>4</v>
      </c>
      <c r="N34" s="17">
        <f>SUM(B34:M34)</f>
        <v>24</v>
      </c>
      <c r="O34" s="16"/>
    </row>
    <row r="35" spans="1:15" x14ac:dyDescent="0.25">
      <c r="B35" t="s">
        <v>55</v>
      </c>
    </row>
    <row r="36" spans="1:15" x14ac:dyDescent="0.25">
      <c r="B36" s="21" t="s">
        <v>326</v>
      </c>
    </row>
    <row r="37" spans="1:15" x14ac:dyDescent="0.25">
      <c r="B37" s="21"/>
    </row>
    <row r="38" spans="1:15" x14ac:dyDescent="0.25">
      <c r="A38" s="400" t="s">
        <v>292</v>
      </c>
      <c r="B38" s="400"/>
      <c r="C38" s="400"/>
      <c r="D38" s="400"/>
    </row>
    <row r="39" spans="1:15" s="2" customFormat="1" x14ac:dyDescent="0.25">
      <c r="A39" s="3" t="s">
        <v>26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  <c r="K39" s="4" t="s">
        <v>11</v>
      </c>
      <c r="L39" s="4" t="s">
        <v>12</v>
      </c>
      <c r="M39" s="4" t="s">
        <v>13</v>
      </c>
      <c r="N39" s="5" t="s">
        <v>14</v>
      </c>
    </row>
    <row r="40" spans="1:15" s="2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5" s="2" customFormat="1" x14ac:dyDescent="0.25">
      <c r="A41" s="5" t="s">
        <v>15</v>
      </c>
      <c r="B41" s="6">
        <f>51-17</f>
        <v>34</v>
      </c>
      <c r="C41" s="4">
        <v>35</v>
      </c>
      <c r="D41" s="4">
        <v>39</v>
      </c>
      <c r="E41" s="4">
        <v>42</v>
      </c>
      <c r="F41" s="4">
        <v>44</v>
      </c>
      <c r="G41" s="7">
        <v>45</v>
      </c>
      <c r="H41" s="4">
        <v>48</v>
      </c>
      <c r="I41" s="4">
        <v>49</v>
      </c>
      <c r="J41" s="4">
        <v>49</v>
      </c>
      <c r="K41" s="4">
        <v>52</v>
      </c>
      <c r="L41" s="4">
        <v>54</v>
      </c>
      <c r="M41" s="4">
        <v>58</v>
      </c>
      <c r="N41" s="8">
        <f>SUM(B41:M41)/12</f>
        <v>45.75</v>
      </c>
    </row>
    <row r="42" spans="1:15" s="2" customFormat="1" x14ac:dyDescent="0.25">
      <c r="A42" s="5" t="s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>
        <f>SUM(B42:M42)/12</f>
        <v>0</v>
      </c>
    </row>
    <row r="43" spans="1:15" s="2" customFormat="1" x14ac:dyDescent="0.25">
      <c r="A43" s="5" t="s">
        <v>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>
        <f>SUM(B43:M43)/12</f>
        <v>0</v>
      </c>
    </row>
    <row r="44" spans="1:15" s="2" customFormat="1" x14ac:dyDescent="0.25">
      <c r="A44" s="5"/>
      <c r="B44" s="11"/>
      <c r="C44" s="11"/>
      <c r="D44" s="11"/>
      <c r="E44" s="11"/>
      <c r="F44" s="11"/>
      <c r="G44" s="11"/>
      <c r="H44" s="9"/>
      <c r="I44" s="11"/>
      <c r="J44" s="11"/>
      <c r="K44" s="11"/>
      <c r="L44" s="11"/>
      <c r="M44" s="11"/>
      <c r="N44" s="12"/>
      <c r="O44" s="13"/>
    </row>
    <row r="45" spans="1:15" s="2" customFormat="1" x14ac:dyDescent="0.25">
      <c r="A45" s="3" t="s">
        <v>62</v>
      </c>
      <c r="B45" s="4">
        <f>B41+(B43*1.5)+(B42*0.8)</f>
        <v>34</v>
      </c>
      <c r="C45" s="4">
        <f>C41+(C43*1.5)+(C42*0.8)</f>
        <v>35</v>
      </c>
      <c r="D45" s="4">
        <f>D41+(D43*1.5)+(D42*0.8)</f>
        <v>39</v>
      </c>
      <c r="E45" s="4">
        <f>E41+(E43*1.5)+(E42*0.8)</f>
        <v>42</v>
      </c>
      <c r="F45" s="4">
        <f>F41+(F43*1.5)+(F42*0.8)</f>
        <v>44</v>
      </c>
      <c r="G45" s="4">
        <f t="shared" ref="G45:M45" si="3">G41+(G43*1.5)+(G42*0.8)</f>
        <v>45</v>
      </c>
      <c r="H45" s="4">
        <f t="shared" si="3"/>
        <v>48</v>
      </c>
      <c r="I45" s="4">
        <f t="shared" si="3"/>
        <v>49</v>
      </c>
      <c r="J45" s="4">
        <f t="shared" si="3"/>
        <v>49</v>
      </c>
      <c r="K45" s="4">
        <f t="shared" si="3"/>
        <v>52</v>
      </c>
      <c r="L45" s="4">
        <f t="shared" si="3"/>
        <v>54</v>
      </c>
      <c r="M45" s="4">
        <f t="shared" si="3"/>
        <v>58</v>
      </c>
      <c r="N45" s="10">
        <f>SUM(B45:M45)/12</f>
        <v>45.75</v>
      </c>
    </row>
    <row r="46" spans="1:15" s="2" customFormat="1" x14ac:dyDescent="0.25">
      <c r="A46" s="14" t="s">
        <v>19</v>
      </c>
      <c r="B46" s="15"/>
      <c r="C46" s="16">
        <v>1</v>
      </c>
      <c r="D46" s="16">
        <v>4</v>
      </c>
      <c r="E46" s="16">
        <v>3</v>
      </c>
      <c r="F46" s="16">
        <v>2</v>
      </c>
      <c r="G46" s="16">
        <v>1</v>
      </c>
      <c r="H46" s="16">
        <v>3</v>
      </c>
      <c r="I46" s="16">
        <v>1</v>
      </c>
      <c r="J46" s="16">
        <v>0</v>
      </c>
      <c r="K46" s="16">
        <v>3</v>
      </c>
      <c r="L46" s="16">
        <v>2</v>
      </c>
      <c r="M46" s="16">
        <v>4</v>
      </c>
      <c r="N46" s="17">
        <f>SUM(B46:M46)</f>
        <v>24</v>
      </c>
      <c r="O46" s="16"/>
    </row>
    <row r="47" spans="1:15" x14ac:dyDescent="0.25">
      <c r="B47" t="s">
        <v>161</v>
      </c>
    </row>
    <row r="48" spans="1:15" x14ac:dyDescent="0.25">
      <c r="A48" s="357"/>
    </row>
    <row r="49" spans="1:15" x14ac:dyDescent="0.25">
      <c r="A49" s="357"/>
    </row>
    <row r="50" spans="1:15" x14ac:dyDescent="0.25">
      <c r="A50" t="s">
        <v>213</v>
      </c>
    </row>
    <row r="51" spans="1:15" ht="14.25" customHeight="1" x14ac:dyDescent="0.25">
      <c r="A51" t="s">
        <v>214</v>
      </c>
    </row>
    <row r="52" spans="1:15" x14ac:dyDescent="0.25">
      <c r="A52" t="s">
        <v>321</v>
      </c>
      <c r="L52" s="113"/>
      <c r="M52" s="113"/>
      <c r="N52" s="113"/>
    </row>
    <row r="53" spans="1:15" x14ac:dyDescent="0.25">
      <c r="A53" t="s">
        <v>320</v>
      </c>
    </row>
    <row r="54" spans="1:15" s="2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2" customFormat="1" x14ac:dyDescent="0.25">
      <c r="A55" s="358" t="s">
        <v>160</v>
      </c>
      <c r="B55" s="358"/>
      <c r="C55" s="358"/>
      <c r="D55" s="358"/>
      <c r="E55"/>
      <c r="F55"/>
      <c r="G55"/>
      <c r="H55"/>
      <c r="I55"/>
      <c r="J55"/>
      <c r="K55"/>
      <c r="L55"/>
      <c r="M55"/>
      <c r="N55"/>
      <c r="O55"/>
    </row>
    <row r="56" spans="1:15" s="2" customFormat="1" x14ac:dyDescent="0.25">
      <c r="A56" s="3" t="s">
        <v>26</v>
      </c>
      <c r="B56" s="4" t="s">
        <v>2</v>
      </c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  <c r="K56" s="4" t="s">
        <v>11</v>
      </c>
      <c r="L56" s="4" t="s">
        <v>12</v>
      </c>
      <c r="M56" s="4" t="s">
        <v>13</v>
      </c>
      <c r="N56" s="5" t="s">
        <v>14</v>
      </c>
    </row>
    <row r="57" spans="1:15" s="2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s="2" customFormat="1" x14ac:dyDescent="0.25">
      <c r="A58" s="5" t="s">
        <v>15</v>
      </c>
      <c r="B58" s="6">
        <f>49-17</f>
        <v>32</v>
      </c>
      <c r="C58" s="4">
        <v>35</v>
      </c>
      <c r="D58" s="4">
        <v>36</v>
      </c>
      <c r="E58" s="4">
        <v>39</v>
      </c>
      <c r="F58" s="4">
        <v>41</v>
      </c>
      <c r="G58" s="7">
        <v>42</v>
      </c>
      <c r="H58" s="4">
        <v>43</v>
      </c>
      <c r="I58" s="4">
        <v>46</v>
      </c>
      <c r="J58" s="4">
        <v>46</v>
      </c>
      <c r="K58" s="4">
        <v>49</v>
      </c>
      <c r="L58" s="4">
        <v>51</v>
      </c>
      <c r="M58" s="4">
        <v>54</v>
      </c>
      <c r="N58" s="8">
        <f>SUM(B58:M58)/12</f>
        <v>42.833333333333336</v>
      </c>
    </row>
    <row r="59" spans="1:15" s="2" customFormat="1" x14ac:dyDescent="0.25">
      <c r="A59" s="5" t="s">
        <v>16</v>
      </c>
      <c r="B59" s="9">
        <f>1-1</f>
        <v>0</v>
      </c>
      <c r="C59" s="9"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0">
        <f>SUM(B59:M59)/12</f>
        <v>0</v>
      </c>
    </row>
    <row r="60" spans="1:15" x14ac:dyDescent="0.25">
      <c r="A60" s="5" t="s">
        <v>17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0">
        <f>SUM(B60:M60)/12</f>
        <v>0</v>
      </c>
      <c r="O60" s="2"/>
    </row>
    <row r="61" spans="1:15" x14ac:dyDescent="0.25">
      <c r="A61" s="5"/>
      <c r="B61" s="11"/>
      <c r="C61" s="11"/>
      <c r="D61" s="11"/>
      <c r="E61" s="11"/>
      <c r="F61" s="11"/>
      <c r="G61" s="11"/>
      <c r="H61" s="9"/>
      <c r="I61" s="11"/>
      <c r="J61" s="11"/>
      <c r="K61" s="11"/>
      <c r="L61" s="11"/>
      <c r="M61" s="11"/>
      <c r="N61" s="12"/>
      <c r="O61" s="13"/>
    </row>
    <row r="62" spans="1:15" x14ac:dyDescent="0.25">
      <c r="A62" s="3" t="s">
        <v>62</v>
      </c>
      <c r="B62" s="4">
        <f>B58+(B60*1.5)+(B59*0.8)</f>
        <v>32</v>
      </c>
      <c r="C62" s="4">
        <f>C58+(C60*1.5)+(C59*0.8)</f>
        <v>35</v>
      </c>
      <c r="D62" s="4">
        <f>D58+(D60*1.5)+(D59*0.8)</f>
        <v>36</v>
      </c>
      <c r="E62" s="4">
        <f>E58+(E60*1.5)+(E59*0.8)</f>
        <v>39</v>
      </c>
      <c r="F62" s="4">
        <f>F58+(F60*1.5)+(F59*0.8)</f>
        <v>41</v>
      </c>
      <c r="G62" s="4">
        <f t="shared" ref="G62:M62" si="4">G58+(G60*1.5)+(G59*0.8)</f>
        <v>42</v>
      </c>
      <c r="H62" s="4">
        <f t="shared" si="4"/>
        <v>43</v>
      </c>
      <c r="I62" s="4">
        <f t="shared" si="4"/>
        <v>46</v>
      </c>
      <c r="J62" s="4">
        <f t="shared" si="4"/>
        <v>46</v>
      </c>
      <c r="K62" s="4">
        <f t="shared" si="4"/>
        <v>49</v>
      </c>
      <c r="L62" s="4">
        <f t="shared" si="4"/>
        <v>51</v>
      </c>
      <c r="M62" s="4">
        <f t="shared" si="4"/>
        <v>54</v>
      </c>
      <c r="N62" s="10">
        <f>SUM(B62:M62)/12</f>
        <v>42.833333333333336</v>
      </c>
      <c r="O62" s="2"/>
    </row>
    <row r="63" spans="1:15" x14ac:dyDescent="0.25">
      <c r="A63" s="14" t="s">
        <v>19</v>
      </c>
      <c r="B63" s="15"/>
      <c r="C63" s="16">
        <v>3</v>
      </c>
      <c r="D63" s="16">
        <v>1</v>
      </c>
      <c r="E63" s="16">
        <v>3</v>
      </c>
      <c r="F63" s="16">
        <v>2</v>
      </c>
      <c r="G63" s="16">
        <v>1</v>
      </c>
      <c r="H63" s="16">
        <v>1</v>
      </c>
      <c r="I63" s="16">
        <v>3</v>
      </c>
      <c r="J63" s="16">
        <v>0</v>
      </c>
      <c r="K63" s="16">
        <v>3</v>
      </c>
      <c r="L63" s="16">
        <v>2</v>
      </c>
      <c r="M63" s="16">
        <v>3</v>
      </c>
      <c r="N63" s="17">
        <f>SUM(B63:M63)</f>
        <v>22</v>
      </c>
      <c r="O63" s="16"/>
    </row>
    <row r="64" spans="1:15" x14ac:dyDescent="0.25">
      <c r="B64" t="s">
        <v>161</v>
      </c>
    </row>
    <row r="65" spans="1:14" x14ac:dyDescent="0.25">
      <c r="A65" s="357"/>
    </row>
    <row r="66" spans="1:14" x14ac:dyDescent="0.25">
      <c r="A66" t="s">
        <v>213</v>
      </c>
    </row>
    <row r="67" spans="1:14" x14ac:dyDescent="0.25">
      <c r="A67" t="s">
        <v>214</v>
      </c>
    </row>
    <row r="68" spans="1:14" x14ac:dyDescent="0.25">
      <c r="A68" t="s">
        <v>215</v>
      </c>
      <c r="L68" s="113"/>
      <c r="M68" s="113"/>
    </row>
    <row r="69" spans="1:14" x14ac:dyDescent="0.25">
      <c r="A69" t="s">
        <v>216</v>
      </c>
    </row>
    <row r="71" spans="1:14" x14ac:dyDescent="0.25">
      <c r="D71" s="47"/>
    </row>
    <row r="72" spans="1:14" x14ac:dyDescent="0.25">
      <c r="A72" s="39" t="s">
        <v>50</v>
      </c>
      <c r="B72" s="40"/>
      <c r="C72" s="40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25">
      <c r="A73" s="28" t="s">
        <v>26</v>
      </c>
      <c r="B73" s="29" t="s">
        <v>2</v>
      </c>
      <c r="C73" s="29" t="s">
        <v>3</v>
      </c>
      <c r="D73" s="29" t="s">
        <v>4</v>
      </c>
      <c r="E73" s="29" t="s">
        <v>5</v>
      </c>
      <c r="F73" s="29" t="s">
        <v>6</v>
      </c>
      <c r="G73" s="29" t="s">
        <v>7</v>
      </c>
      <c r="H73" s="29" t="s">
        <v>8</v>
      </c>
      <c r="I73" s="29" t="s">
        <v>9</v>
      </c>
      <c r="J73" s="29" t="s">
        <v>10</v>
      </c>
      <c r="K73" s="29" t="s">
        <v>11</v>
      </c>
      <c r="L73" s="29" t="s">
        <v>12</v>
      </c>
      <c r="M73" s="29" t="s">
        <v>13</v>
      </c>
      <c r="N73" s="30" t="s">
        <v>14</v>
      </c>
    </row>
    <row r="74" spans="1:14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x14ac:dyDescent="0.25">
      <c r="A75" s="30" t="s">
        <v>15</v>
      </c>
      <c r="B75" s="32">
        <v>41</v>
      </c>
      <c r="C75" s="58">
        <f>41+1+0.75</f>
        <v>42.75</v>
      </c>
      <c r="D75" s="41">
        <f>43-1</f>
        <v>42</v>
      </c>
      <c r="E75" s="41">
        <v>46</v>
      </c>
      <c r="F75" s="41">
        <v>47</v>
      </c>
      <c r="G75" s="42">
        <f>47.5</f>
        <v>47.5</v>
      </c>
      <c r="H75" s="41">
        <v>48</v>
      </c>
      <c r="I75" s="41">
        <v>48</v>
      </c>
      <c r="J75" s="41">
        <v>48</v>
      </c>
      <c r="K75" s="41">
        <v>49</v>
      </c>
      <c r="L75" s="41">
        <v>52</v>
      </c>
      <c r="M75" s="4">
        <v>52</v>
      </c>
      <c r="N75" s="8">
        <f>SUM(B75:M75)/12</f>
        <v>46.9375</v>
      </c>
    </row>
    <row r="76" spans="1:14" x14ac:dyDescent="0.25">
      <c r="A76" s="30" t="s">
        <v>16</v>
      </c>
      <c r="B76" s="33"/>
      <c r="C76" s="33"/>
      <c r="D76" s="43"/>
      <c r="E76" s="43"/>
      <c r="F76" s="43"/>
      <c r="G76" s="43"/>
      <c r="H76" s="43"/>
      <c r="I76" s="43"/>
      <c r="J76" s="43"/>
      <c r="K76" s="43"/>
      <c r="L76" s="43"/>
      <c r="M76" s="9"/>
      <c r="N76" s="10">
        <f>SUM(B76:M76)/12</f>
        <v>0</v>
      </c>
    </row>
    <row r="77" spans="1:14" x14ac:dyDescent="0.25">
      <c r="A77" s="30" t="s">
        <v>17</v>
      </c>
      <c r="B77" s="34"/>
      <c r="C77" s="34"/>
      <c r="D77" s="44"/>
      <c r="E77" s="44"/>
      <c r="F77" s="44"/>
      <c r="G77" s="44"/>
      <c r="H77" s="44"/>
      <c r="I77" s="44"/>
      <c r="J77" s="44"/>
      <c r="K77" s="44"/>
      <c r="L77" s="44"/>
      <c r="M77" s="11"/>
      <c r="N77" s="10">
        <f>SUM(B77:M77)/12</f>
        <v>0</v>
      </c>
    </row>
    <row r="78" spans="1:14" x14ac:dyDescent="0.25">
      <c r="A78" s="30"/>
      <c r="B78" s="11"/>
      <c r="C78" s="11"/>
      <c r="D78" s="11"/>
      <c r="E78" s="11"/>
      <c r="F78" s="11"/>
      <c r="G78" s="11"/>
      <c r="H78" s="9"/>
      <c r="I78" s="11"/>
      <c r="J78" s="11"/>
      <c r="K78" s="11"/>
      <c r="L78" s="11"/>
      <c r="M78" s="11"/>
      <c r="N78" s="12"/>
    </row>
    <row r="79" spans="1:14" x14ac:dyDescent="0.25">
      <c r="A79" s="303" t="s">
        <v>18</v>
      </c>
      <c r="B79" s="4">
        <f>B75+(B77*1.5)+(B76*0.8)</f>
        <v>41</v>
      </c>
      <c r="C79" s="4">
        <f>C75+(C77*1.5)+(C76*0.8)</f>
        <v>42.75</v>
      </c>
      <c r="D79" s="4">
        <f>D75+(D77*1.5)+(D76*0.8)</f>
        <v>42</v>
      </c>
      <c r="E79" s="4">
        <f>E75+(E77*1.5)+(E76*0.8)</f>
        <v>46</v>
      </c>
      <c r="F79" s="4">
        <f>F75+(F77*1.5)+(F76*0.8)</f>
        <v>47</v>
      </c>
      <c r="G79" s="4">
        <f t="shared" ref="G79:M79" si="5">G75+(G77*1.5)+(G76*0.8)</f>
        <v>47.5</v>
      </c>
      <c r="H79" s="4">
        <f t="shared" si="5"/>
        <v>48</v>
      </c>
      <c r="I79" s="4">
        <f t="shared" si="5"/>
        <v>48</v>
      </c>
      <c r="J79" s="4">
        <f t="shared" si="5"/>
        <v>48</v>
      </c>
      <c r="K79" s="4">
        <f t="shared" si="5"/>
        <v>49</v>
      </c>
      <c r="L79" s="4">
        <f t="shared" si="5"/>
        <v>52</v>
      </c>
      <c r="M79" s="4">
        <f t="shared" si="5"/>
        <v>52</v>
      </c>
      <c r="N79" s="10">
        <f>SUM(B79:M79)/12</f>
        <v>46.9375</v>
      </c>
    </row>
    <row r="80" spans="1:14" x14ac:dyDescent="0.25">
      <c r="A80" s="46"/>
      <c r="B80" s="47">
        <v>1</v>
      </c>
      <c r="C80" s="47">
        <v>2</v>
      </c>
      <c r="D80" s="47"/>
      <c r="E80" s="47">
        <v>2</v>
      </c>
      <c r="F80" s="47">
        <v>1</v>
      </c>
      <c r="G80" s="47">
        <v>1</v>
      </c>
      <c r="H80" s="47">
        <v>0</v>
      </c>
      <c r="I80" s="47"/>
      <c r="J80" s="47"/>
      <c r="K80" s="47"/>
      <c r="L80" s="47"/>
      <c r="M80" s="47"/>
      <c r="N80" s="48">
        <f>SUM(B80:M80)</f>
        <v>7</v>
      </c>
    </row>
    <row r="81" spans="1:14" x14ac:dyDescent="0.25">
      <c r="A81" s="47"/>
      <c r="B81" s="47"/>
      <c r="C81" s="47" t="s">
        <v>42</v>
      </c>
      <c r="D81" s="47" t="s">
        <v>38</v>
      </c>
      <c r="E81" s="47"/>
      <c r="F81" s="47" t="s">
        <v>139</v>
      </c>
      <c r="G81" s="337" t="s">
        <v>156</v>
      </c>
      <c r="H81" s="57" t="s">
        <v>138</v>
      </c>
      <c r="I81" s="57">
        <v>0</v>
      </c>
      <c r="J81" s="57">
        <v>0</v>
      </c>
      <c r="K81" s="57">
        <v>1</v>
      </c>
      <c r="L81" s="57">
        <v>3</v>
      </c>
      <c r="M81" s="57">
        <v>0</v>
      </c>
      <c r="N81" s="64">
        <f>SUM(G81:M81)</f>
        <v>4</v>
      </c>
    </row>
    <row r="82" spans="1:14" x14ac:dyDescent="0.25">
      <c r="D82" s="47" t="s">
        <v>43</v>
      </c>
      <c r="G82" s="356" t="s">
        <v>157</v>
      </c>
      <c r="H82" s="27"/>
      <c r="I82" s="49"/>
      <c r="J82" s="49"/>
      <c r="K82" s="49"/>
      <c r="L82" s="49"/>
      <c r="M82" s="49"/>
      <c r="N82" s="50"/>
    </row>
    <row r="83" spans="1:14" x14ac:dyDescent="0.25">
      <c r="D83" s="47"/>
      <c r="G83" s="356"/>
      <c r="H83" t="s">
        <v>158</v>
      </c>
    </row>
    <row r="84" spans="1:14" x14ac:dyDescent="0.25">
      <c r="D84" s="47"/>
      <c r="G84" s="356"/>
      <c r="H84" s="61" t="s">
        <v>159</v>
      </c>
      <c r="I84" s="61"/>
      <c r="J84" s="61"/>
      <c r="K84" s="61"/>
      <c r="L84" s="61"/>
      <c r="M84" s="61"/>
    </row>
    <row r="85" spans="1:14" x14ac:dyDescent="0.25">
      <c r="D85" s="47"/>
      <c r="G85" s="356"/>
      <c r="H85" t="s">
        <v>173</v>
      </c>
    </row>
  </sheetData>
  <pageMargins left="0.11811023622047245" right="0.11811023622047245" top="0.15748031496062992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U11" sqref="U11"/>
    </sheetView>
  </sheetViews>
  <sheetFormatPr defaultRowHeight="15" x14ac:dyDescent="0.25"/>
  <sheetData>
    <row r="1" spans="1:15" x14ac:dyDescent="0.25">
      <c r="A1" t="s">
        <v>51</v>
      </c>
    </row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84" t="s">
        <v>53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5" x14ac:dyDescent="0.25">
      <c r="A5" s="86" t="s">
        <v>15</v>
      </c>
      <c r="B5" s="32">
        <v>33</v>
      </c>
      <c r="C5" s="58">
        <v>33</v>
      </c>
      <c r="D5" s="58">
        <v>34</v>
      </c>
      <c r="E5" s="58">
        <v>37</v>
      </c>
      <c r="F5" s="58">
        <v>37</v>
      </c>
      <c r="G5" s="386">
        <v>38</v>
      </c>
      <c r="H5" s="58">
        <v>38</v>
      </c>
      <c r="I5" s="58">
        <v>39</v>
      </c>
      <c r="J5" s="58">
        <v>39</v>
      </c>
      <c r="K5" s="58">
        <v>39</v>
      </c>
      <c r="L5" s="41">
        <f>39+3-2</f>
        <v>40</v>
      </c>
      <c r="M5" s="4">
        <v>41</v>
      </c>
      <c r="N5" s="8">
        <f>SUM(B5:M5)/12</f>
        <v>37.333333333333336</v>
      </c>
      <c r="O5" s="66"/>
    </row>
    <row r="6" spans="1:15" x14ac:dyDescent="0.25">
      <c r="A6" s="86" t="s">
        <v>16</v>
      </c>
      <c r="B6" s="33">
        <v>1</v>
      </c>
      <c r="C6" s="33">
        <v>1</v>
      </c>
      <c r="D6" s="33">
        <v>1</v>
      </c>
      <c r="E6" s="33">
        <v>0</v>
      </c>
      <c r="F6" s="33"/>
      <c r="G6" s="33"/>
      <c r="H6" s="33"/>
      <c r="I6" s="33"/>
      <c r="J6" s="33"/>
      <c r="K6" s="33"/>
      <c r="L6" s="43"/>
      <c r="M6" s="9"/>
      <c r="N6" s="10">
        <f>SUM(B6:M6)/12</f>
        <v>0.25</v>
      </c>
      <c r="O6" s="66"/>
    </row>
    <row r="7" spans="1:15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  <c r="O7" s="66"/>
    </row>
    <row r="8" spans="1:15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15" x14ac:dyDescent="0.25">
      <c r="A9" s="84" t="s">
        <v>18</v>
      </c>
      <c r="B9" s="4">
        <f>B5+(B7*1.5)+(B6*0.8)</f>
        <v>33.799999999999997</v>
      </c>
      <c r="C9" s="4">
        <f>C5+(C7*1.5)+(C6*0.8)</f>
        <v>33.799999999999997</v>
      </c>
      <c r="D9" s="4">
        <f>D5+(D7*1.5)+(D6*0.8)</f>
        <v>34.799999999999997</v>
      </c>
      <c r="E9" s="4">
        <f>E5+(E7*1.5)+(E6*0.8)</f>
        <v>37</v>
      </c>
      <c r="F9" s="4">
        <f>F5+(F7*1.5)+(F6*0.8)</f>
        <v>37</v>
      </c>
      <c r="G9" s="4">
        <f t="shared" ref="G9:M9" si="0">G5+(G7*1.5)+(G6*0.8)</f>
        <v>38</v>
      </c>
      <c r="H9" s="4">
        <f t="shared" si="0"/>
        <v>38</v>
      </c>
      <c r="I9" s="4">
        <f t="shared" si="0"/>
        <v>39</v>
      </c>
      <c r="J9" s="4">
        <f t="shared" si="0"/>
        <v>39</v>
      </c>
      <c r="K9" s="4">
        <f t="shared" si="0"/>
        <v>39</v>
      </c>
      <c r="L9" s="4">
        <f t="shared" si="0"/>
        <v>40</v>
      </c>
      <c r="M9" s="4">
        <f t="shared" si="0"/>
        <v>41</v>
      </c>
      <c r="N9" s="10">
        <f>SUM(B9:M9)/12</f>
        <v>37.533333333333331</v>
      </c>
      <c r="O9" s="66"/>
    </row>
    <row r="10" spans="1:15" x14ac:dyDescent="0.25">
      <c r="A10" s="81" t="s">
        <v>19</v>
      </c>
      <c r="B10" s="77">
        <v>1</v>
      </c>
      <c r="C10" s="68">
        <v>0</v>
      </c>
      <c r="D10" s="68">
        <v>1</v>
      </c>
      <c r="E10" s="68">
        <v>2</v>
      </c>
      <c r="F10" s="68">
        <v>0</v>
      </c>
      <c r="G10" s="68">
        <v>1</v>
      </c>
      <c r="H10" s="68">
        <v>0</v>
      </c>
      <c r="I10" s="68">
        <v>1</v>
      </c>
      <c r="J10" s="68">
        <v>0</v>
      </c>
      <c r="K10" s="68">
        <v>0</v>
      </c>
      <c r="L10" s="68">
        <v>3</v>
      </c>
      <c r="M10" s="68">
        <v>1</v>
      </c>
      <c r="N10" s="82">
        <f>SUM(B10:M10)</f>
        <v>10</v>
      </c>
      <c r="O10" s="66"/>
    </row>
    <row r="11" spans="1:15" x14ac:dyDescent="0.25">
      <c r="A11" s="65"/>
      <c r="B11" s="88" t="s">
        <v>49</v>
      </c>
      <c r="C11" s="65"/>
      <c r="D11" s="80" t="s">
        <v>52</v>
      </c>
      <c r="E11" s="65"/>
      <c r="F11" s="65"/>
      <c r="G11" s="65"/>
      <c r="H11" s="65"/>
      <c r="I11" s="65"/>
      <c r="J11" s="65"/>
      <c r="K11" s="80" t="s">
        <v>290</v>
      </c>
      <c r="L11" s="65"/>
      <c r="M11" s="65"/>
      <c r="N11" s="65"/>
      <c r="O11" s="65"/>
    </row>
    <row r="13" spans="1:15" x14ac:dyDescent="0.25">
      <c r="A13" s="89" t="s">
        <v>0</v>
      </c>
      <c r="B13" s="83"/>
      <c r="C13" s="83"/>
      <c r="D13" s="83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x14ac:dyDescent="0.25">
      <c r="A14" s="69" t="s">
        <v>48</v>
      </c>
      <c r="B14" s="70" t="s">
        <v>2</v>
      </c>
      <c r="C14" s="70" t="s">
        <v>3</v>
      </c>
      <c r="D14" s="70" t="s">
        <v>4</v>
      </c>
      <c r="E14" s="70" t="s">
        <v>5</v>
      </c>
      <c r="F14" s="70" t="s">
        <v>6</v>
      </c>
      <c r="G14" s="70" t="s">
        <v>7</v>
      </c>
      <c r="H14" s="70" t="s">
        <v>8</v>
      </c>
      <c r="I14" s="70" t="s">
        <v>9</v>
      </c>
      <c r="J14" s="70" t="s">
        <v>10</v>
      </c>
      <c r="K14" s="70" t="s">
        <v>11</v>
      </c>
      <c r="L14" s="70" t="s">
        <v>12</v>
      </c>
      <c r="M14" s="70" t="s">
        <v>13</v>
      </c>
      <c r="N14" s="71" t="s">
        <v>14</v>
      </c>
      <c r="O14" s="66"/>
    </row>
    <row r="15" spans="1:15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66"/>
    </row>
    <row r="16" spans="1:15" x14ac:dyDescent="0.25">
      <c r="A16" s="71" t="s">
        <v>15</v>
      </c>
      <c r="B16" s="78">
        <v>34</v>
      </c>
      <c r="C16" s="70">
        <v>34</v>
      </c>
      <c r="D16" s="70">
        <v>35</v>
      </c>
      <c r="E16" s="70">
        <v>36</v>
      </c>
      <c r="F16" s="70">
        <v>36</v>
      </c>
      <c r="G16" s="79">
        <v>36</v>
      </c>
      <c r="H16" s="70">
        <v>36</v>
      </c>
      <c r="I16" s="70">
        <v>37</v>
      </c>
      <c r="J16" s="70">
        <v>37</v>
      </c>
      <c r="K16" s="70">
        <v>37</v>
      </c>
      <c r="L16" s="70">
        <v>39</v>
      </c>
      <c r="M16" s="70">
        <v>40</v>
      </c>
      <c r="N16" s="72">
        <v>36.416666666666664</v>
      </c>
      <c r="O16" s="66"/>
    </row>
    <row r="17" spans="1:15" x14ac:dyDescent="0.25">
      <c r="A17" s="71" t="s">
        <v>16</v>
      </c>
      <c r="B17" s="73">
        <v>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>
        <v>0</v>
      </c>
      <c r="O17" s="66"/>
    </row>
    <row r="18" spans="1:15" x14ac:dyDescent="0.25">
      <c r="A18" s="71" t="s">
        <v>17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4">
        <v>0</v>
      </c>
      <c r="O18" s="66"/>
    </row>
    <row r="19" spans="1:15" x14ac:dyDescent="0.25">
      <c r="A19" s="71"/>
      <c r="B19" s="75"/>
      <c r="C19" s="75"/>
      <c r="D19" s="75"/>
      <c r="E19" s="75"/>
      <c r="F19" s="75"/>
      <c r="G19" s="75"/>
      <c r="H19" s="73"/>
      <c r="I19" s="75"/>
      <c r="J19" s="75"/>
      <c r="K19" s="75"/>
      <c r="L19" s="75"/>
      <c r="M19" s="75"/>
      <c r="N19" s="76"/>
      <c r="O19" s="67"/>
    </row>
    <row r="20" spans="1:15" x14ac:dyDescent="0.25">
      <c r="A20" s="69" t="s">
        <v>18</v>
      </c>
      <c r="B20" s="70">
        <v>34</v>
      </c>
      <c r="C20" s="70">
        <v>34</v>
      </c>
      <c r="D20" s="70">
        <v>35</v>
      </c>
      <c r="E20" s="70">
        <v>36</v>
      </c>
      <c r="F20" s="70">
        <v>36</v>
      </c>
      <c r="G20" s="70">
        <v>36</v>
      </c>
      <c r="H20" s="70">
        <v>36</v>
      </c>
      <c r="I20" s="70">
        <v>37</v>
      </c>
      <c r="J20" s="70">
        <v>37</v>
      </c>
      <c r="K20" s="70">
        <v>37</v>
      </c>
      <c r="L20" s="70">
        <v>39</v>
      </c>
      <c r="M20" s="70">
        <v>40</v>
      </c>
      <c r="N20" s="74">
        <v>36.416666666666664</v>
      </c>
      <c r="O20" s="66"/>
    </row>
    <row r="21" spans="1:15" x14ac:dyDescent="0.25">
      <c r="A21" s="81" t="s">
        <v>19</v>
      </c>
      <c r="B21" s="77">
        <v>1</v>
      </c>
      <c r="C21" s="68">
        <v>0</v>
      </c>
      <c r="D21" s="68">
        <v>1</v>
      </c>
      <c r="E21" s="68">
        <v>1</v>
      </c>
      <c r="F21" s="68">
        <v>0</v>
      </c>
      <c r="G21" s="68">
        <v>0</v>
      </c>
      <c r="H21" s="68">
        <v>0</v>
      </c>
      <c r="I21" s="68">
        <v>1</v>
      </c>
      <c r="J21" s="68">
        <v>0</v>
      </c>
      <c r="K21" s="68">
        <v>0</v>
      </c>
      <c r="L21" s="68">
        <v>2</v>
      </c>
      <c r="M21" s="68">
        <v>1</v>
      </c>
      <c r="N21" s="82">
        <f>SUM(B21:M21)</f>
        <v>7</v>
      </c>
      <c r="O21" s="66"/>
    </row>
    <row r="22" spans="1:15" x14ac:dyDescent="0.25">
      <c r="A22" s="65"/>
      <c r="B22" s="88" t="s">
        <v>49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x14ac:dyDescent="0.25">
      <c r="A23" s="92"/>
      <c r="B23" s="8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x14ac:dyDescent="0.25">
      <c r="A24" s="400" t="s">
        <v>289</v>
      </c>
      <c r="B24" s="400"/>
      <c r="C24" s="400"/>
      <c r="D24" s="400"/>
    </row>
    <row r="25" spans="1:15" s="2" customFormat="1" x14ac:dyDescent="0.25">
      <c r="A25" s="3" t="s">
        <v>53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 t="s">
        <v>13</v>
      </c>
      <c r="N25" s="5" t="s">
        <v>14</v>
      </c>
    </row>
    <row r="26" spans="1:15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5" s="2" customFormat="1" x14ac:dyDescent="0.25">
      <c r="A27" s="5" t="s">
        <v>15</v>
      </c>
      <c r="B27" s="6">
        <f>41-11</f>
        <v>30</v>
      </c>
      <c r="C27" s="4">
        <v>30</v>
      </c>
      <c r="D27" s="4">
        <v>30</v>
      </c>
      <c r="E27" s="4">
        <v>30</v>
      </c>
      <c r="F27" s="4">
        <v>30</v>
      </c>
      <c r="G27" s="7">
        <v>31</v>
      </c>
      <c r="H27" s="4">
        <v>31</v>
      </c>
      <c r="I27" s="4">
        <v>31</v>
      </c>
      <c r="J27" s="4">
        <v>31</v>
      </c>
      <c r="K27" s="4">
        <v>32</v>
      </c>
      <c r="L27" s="4">
        <v>32</v>
      </c>
      <c r="M27" s="4">
        <v>32</v>
      </c>
      <c r="N27" s="8">
        <f>SUM(B27:M27)/12</f>
        <v>30.833333333333332</v>
      </c>
    </row>
    <row r="28" spans="1:15" s="2" customFormat="1" x14ac:dyDescent="0.25">
      <c r="A28" s="5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>SUM(B28:M28)/12</f>
        <v>0</v>
      </c>
    </row>
    <row r="29" spans="1:15" s="2" customFormat="1" x14ac:dyDescent="0.25">
      <c r="A29" s="5" t="s">
        <v>17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>SUM(B29:M29)/12</f>
        <v>0</v>
      </c>
    </row>
    <row r="30" spans="1:15" s="2" customFormat="1" x14ac:dyDescent="0.25">
      <c r="A30" s="5"/>
      <c r="B30" s="11"/>
      <c r="C30" s="11"/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2"/>
      <c r="O30" s="13"/>
    </row>
    <row r="31" spans="1:15" s="2" customFormat="1" x14ac:dyDescent="0.25">
      <c r="A31" s="3" t="s">
        <v>62</v>
      </c>
      <c r="B31" s="4">
        <f>B27+(B29*1.5)+(B28*0.8)</f>
        <v>30</v>
      </c>
      <c r="C31" s="4">
        <f>C27+(C29*1.5)+(C28*0.8)</f>
        <v>30</v>
      </c>
      <c r="D31" s="4">
        <f>D27+(D29*1.5)+(D28*0.8)</f>
        <v>30</v>
      </c>
      <c r="E31" s="4">
        <f>E27+(E29*1.5)+(E28*0.8)</f>
        <v>30</v>
      </c>
      <c r="F31" s="4">
        <f>F27+(F29*1.5)+(F28*0.8)</f>
        <v>30</v>
      </c>
      <c r="G31" s="4">
        <f t="shared" ref="G31:M31" si="1">G27+(G29*1.5)+(G28*0.8)</f>
        <v>31</v>
      </c>
      <c r="H31" s="4">
        <f t="shared" si="1"/>
        <v>31</v>
      </c>
      <c r="I31" s="4">
        <f t="shared" si="1"/>
        <v>31</v>
      </c>
      <c r="J31" s="4">
        <f t="shared" si="1"/>
        <v>31</v>
      </c>
      <c r="K31" s="4">
        <f t="shared" si="1"/>
        <v>32</v>
      </c>
      <c r="L31" s="4">
        <f t="shared" si="1"/>
        <v>32</v>
      </c>
      <c r="M31" s="4">
        <f t="shared" si="1"/>
        <v>32</v>
      </c>
      <c r="N31" s="10">
        <f>SUM(B31:M31)/12</f>
        <v>30.833333333333332</v>
      </c>
    </row>
    <row r="32" spans="1:15" s="2" customFormat="1" x14ac:dyDescent="0.25">
      <c r="A32" s="14" t="s">
        <v>19</v>
      </c>
      <c r="B32" s="15">
        <v>1</v>
      </c>
      <c r="C32" s="16"/>
      <c r="D32" s="16"/>
      <c r="E32" s="16"/>
      <c r="F32" s="16"/>
      <c r="G32" s="16">
        <v>1</v>
      </c>
      <c r="H32" s="16"/>
      <c r="I32" s="16"/>
      <c r="J32" s="16"/>
      <c r="K32" s="16">
        <v>1</v>
      </c>
      <c r="L32" s="16"/>
      <c r="M32" s="16"/>
      <c r="N32" s="17">
        <f>SUM(B32:M32)</f>
        <v>3</v>
      </c>
      <c r="O32" s="16"/>
    </row>
    <row r="33" spans="1:15" x14ac:dyDescent="0.25">
      <c r="B33" s="47" t="s">
        <v>291</v>
      </c>
    </row>
    <row r="35" spans="1:15" x14ac:dyDescent="0.25">
      <c r="A35" s="358" t="s">
        <v>160</v>
      </c>
      <c r="B35" s="358"/>
      <c r="C35" s="358"/>
      <c r="D35" s="358"/>
    </row>
    <row r="36" spans="1:15" s="2" customFormat="1" x14ac:dyDescent="0.25">
      <c r="A36" s="3" t="s">
        <v>53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5" t="s">
        <v>14</v>
      </c>
    </row>
    <row r="37" spans="1:15" s="2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5" s="2" customFormat="1" x14ac:dyDescent="0.25">
      <c r="A38" s="5" t="s">
        <v>15</v>
      </c>
      <c r="B38" s="6">
        <f>43-13+1</f>
        <v>31</v>
      </c>
      <c r="C38" s="4">
        <v>31</v>
      </c>
      <c r="D38" s="4">
        <v>31</v>
      </c>
      <c r="E38" s="4">
        <v>31</v>
      </c>
      <c r="F38" s="4">
        <v>31</v>
      </c>
      <c r="G38" s="7">
        <v>32</v>
      </c>
      <c r="H38" s="4">
        <v>32</v>
      </c>
      <c r="I38" s="4">
        <v>32</v>
      </c>
      <c r="J38" s="4">
        <v>32</v>
      </c>
      <c r="K38" s="4">
        <v>33</v>
      </c>
      <c r="L38" s="4">
        <v>33</v>
      </c>
      <c r="M38" s="4">
        <v>33</v>
      </c>
      <c r="N38" s="8">
        <f>SUM(B38:M38)/12</f>
        <v>31.833333333333332</v>
      </c>
    </row>
    <row r="39" spans="1:15" s="2" customFormat="1" x14ac:dyDescent="0.25">
      <c r="A39" s="5" t="s">
        <v>16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>
        <f>SUM(B39:M39)/12</f>
        <v>0</v>
      </c>
    </row>
    <row r="40" spans="1:15" s="2" customFormat="1" x14ac:dyDescent="0.25">
      <c r="A40" s="5" t="s">
        <v>17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>
        <f>SUM(B40:M40)/12</f>
        <v>0</v>
      </c>
    </row>
    <row r="41" spans="1:15" s="2" customFormat="1" x14ac:dyDescent="0.25">
      <c r="A41" s="5"/>
      <c r="B41" s="11"/>
      <c r="C41" s="11"/>
      <c r="D41" s="11"/>
      <c r="E41" s="11"/>
      <c r="F41" s="11"/>
      <c r="G41" s="11"/>
      <c r="H41" s="9"/>
      <c r="I41" s="11"/>
      <c r="J41" s="11"/>
      <c r="K41" s="11"/>
      <c r="L41" s="11"/>
      <c r="M41" s="11"/>
      <c r="N41" s="12"/>
      <c r="O41" s="13"/>
    </row>
    <row r="42" spans="1:15" s="2" customFormat="1" x14ac:dyDescent="0.25">
      <c r="A42" s="3" t="s">
        <v>62</v>
      </c>
      <c r="B42" s="4">
        <f>B38+(B40*1.5)+(B39*0.8)</f>
        <v>31</v>
      </c>
      <c r="C42" s="4">
        <f>C38+(C40*1.5)+(C39*0.8)</f>
        <v>31</v>
      </c>
      <c r="D42" s="4">
        <f>D38+(D40*1.5)+(D39*0.8)</f>
        <v>31</v>
      </c>
      <c r="E42" s="4">
        <f>E38+(E40*1.5)+(E39*0.8)</f>
        <v>31</v>
      </c>
      <c r="F42" s="4">
        <f>F38+(F40*1.5)+(F39*0.8)</f>
        <v>31</v>
      </c>
      <c r="G42" s="4">
        <f t="shared" ref="G42:M42" si="2">G38+(G40*1.5)+(G39*0.8)</f>
        <v>32</v>
      </c>
      <c r="H42" s="4">
        <f t="shared" si="2"/>
        <v>32</v>
      </c>
      <c r="I42" s="4">
        <f t="shared" si="2"/>
        <v>32</v>
      </c>
      <c r="J42" s="4">
        <f t="shared" si="2"/>
        <v>32</v>
      </c>
      <c r="K42" s="4">
        <f t="shared" si="2"/>
        <v>33</v>
      </c>
      <c r="L42" s="4">
        <f t="shared" si="2"/>
        <v>33</v>
      </c>
      <c r="M42" s="4">
        <f t="shared" si="2"/>
        <v>33</v>
      </c>
      <c r="N42" s="10">
        <f>SUM(B42:M42)/12</f>
        <v>31.833333333333332</v>
      </c>
    </row>
    <row r="43" spans="1:15" s="2" customFormat="1" x14ac:dyDescent="0.25">
      <c r="A43" s="14" t="s">
        <v>19</v>
      </c>
      <c r="B43" s="15">
        <v>1</v>
      </c>
      <c r="C43" s="16"/>
      <c r="D43" s="16"/>
      <c r="E43" s="16"/>
      <c r="F43" s="16"/>
      <c r="G43" s="16">
        <v>1</v>
      </c>
      <c r="H43" s="16"/>
      <c r="I43" s="16"/>
      <c r="J43" s="16"/>
      <c r="K43" s="16">
        <v>1</v>
      </c>
      <c r="L43" s="16"/>
      <c r="M43" s="16"/>
      <c r="N43" s="17">
        <f>SUM(B43:M43)</f>
        <v>3</v>
      </c>
      <c r="O43" s="16"/>
    </row>
    <row r="44" spans="1:15" x14ac:dyDescent="0.25">
      <c r="B44" s="47" t="s">
        <v>163</v>
      </c>
    </row>
  </sheetData>
  <pageMargins left="0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5"/>
  <sheetViews>
    <sheetView workbookViewId="0">
      <selection activeCell="M30" sqref="M30"/>
    </sheetView>
  </sheetViews>
  <sheetFormatPr defaultRowHeight="15" x14ac:dyDescent="0.25"/>
  <sheetData>
    <row r="2" spans="1:23" x14ac:dyDescent="0.25">
      <c r="A2" s="39" t="s">
        <v>50</v>
      </c>
      <c r="B2" s="87"/>
      <c r="C2" s="87"/>
      <c r="D2" s="87"/>
      <c r="E2" s="87"/>
      <c r="F2" s="87"/>
      <c r="G2" s="87"/>
      <c r="H2" s="87"/>
      <c r="I2" s="66"/>
      <c r="J2" s="66"/>
      <c r="K2" s="66"/>
      <c r="L2" s="66"/>
      <c r="M2" s="66"/>
      <c r="N2" s="66"/>
      <c r="O2" s="66"/>
    </row>
    <row r="3" spans="1:23" x14ac:dyDescent="0.25">
      <c r="A3" s="84" t="s">
        <v>54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23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  <c r="P4" s="368" t="s">
        <v>131</v>
      </c>
      <c r="Q4" s="357"/>
      <c r="R4" s="357"/>
      <c r="S4" s="357"/>
    </row>
    <row r="5" spans="1:23" x14ac:dyDescent="0.25">
      <c r="A5" s="86" t="s">
        <v>15</v>
      </c>
      <c r="B5" s="32">
        <f>53+5+0.5</f>
        <v>58.5</v>
      </c>
      <c r="C5" s="58">
        <v>64</v>
      </c>
      <c r="D5" s="58">
        <f>64+2+0.25</f>
        <v>66.25</v>
      </c>
      <c r="E5" s="58">
        <f>67+4+0.5</f>
        <v>71.5</v>
      </c>
      <c r="F5" s="58">
        <f>73+0.75</f>
        <v>73.75</v>
      </c>
      <c r="G5" s="386">
        <f>74+1+0.5-0.5</f>
        <v>75</v>
      </c>
      <c r="H5" s="58">
        <f>75+2-0.5-0.5</f>
        <v>76</v>
      </c>
      <c r="I5" s="58">
        <f>75+1</f>
        <v>76</v>
      </c>
      <c r="J5" s="58">
        <f>76+1-1</f>
        <v>76</v>
      </c>
      <c r="K5" s="58">
        <v>77</v>
      </c>
      <c r="L5" s="41">
        <f>77+1+0.5-0.5+1</f>
        <v>79</v>
      </c>
      <c r="M5" s="4">
        <f>79+1</f>
        <v>80</v>
      </c>
      <c r="N5" s="8">
        <f>SUM(B5:M5)/12</f>
        <v>72.75</v>
      </c>
      <c r="O5" s="66"/>
      <c r="P5" s="357" t="s">
        <v>132</v>
      </c>
      <c r="Q5" s="357"/>
      <c r="R5" s="357"/>
      <c r="S5" s="357"/>
    </row>
    <row r="6" spans="1:23" x14ac:dyDescent="0.25">
      <c r="A6" s="86" t="s">
        <v>16</v>
      </c>
      <c r="B6" s="33">
        <v>5</v>
      </c>
      <c r="C6" s="33">
        <v>5</v>
      </c>
      <c r="D6" s="33">
        <f>5-0.5</f>
        <v>4.5</v>
      </c>
      <c r="E6" s="33">
        <v>4</v>
      </c>
      <c r="F6" s="33">
        <f>4-0.75</f>
        <v>3.25</v>
      </c>
      <c r="G6" s="33">
        <v>3</v>
      </c>
      <c r="H6" s="33">
        <v>3</v>
      </c>
      <c r="I6" s="33">
        <v>3</v>
      </c>
      <c r="J6" s="33">
        <v>3</v>
      </c>
      <c r="K6" s="33">
        <v>3</v>
      </c>
      <c r="L6" s="43">
        <v>3</v>
      </c>
      <c r="M6" s="9">
        <v>3</v>
      </c>
      <c r="N6" s="10">
        <f>SUM(B6:M6)/12</f>
        <v>3.5625</v>
      </c>
      <c r="O6" s="66"/>
      <c r="P6" s="357" t="s">
        <v>133</v>
      </c>
      <c r="Q6" s="357"/>
      <c r="R6" s="357"/>
      <c r="S6" s="357"/>
    </row>
    <row r="7" spans="1:23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  <c r="O7" s="66"/>
    </row>
    <row r="8" spans="1:23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  <c r="P8" t="s">
        <v>196</v>
      </c>
    </row>
    <row r="9" spans="1:23" x14ac:dyDescent="0.25">
      <c r="A9" s="84" t="s">
        <v>18</v>
      </c>
      <c r="B9" s="4">
        <f>B5+(B7*1.5)+(B6*0.8)</f>
        <v>62.5</v>
      </c>
      <c r="C9" s="4">
        <f>C5+(C7*1.5)+(C6*0.8)</f>
        <v>68</v>
      </c>
      <c r="D9" s="4">
        <f>D5+(D7*1.5)+(D6*0.8)</f>
        <v>69.849999999999994</v>
      </c>
      <c r="E9" s="4">
        <f>E5+(E7*1.5)+(E6*0.8)</f>
        <v>74.7</v>
      </c>
      <c r="F9" s="4">
        <f>F5+(F7*1.5)+(F6*0.8)</f>
        <v>76.349999999999994</v>
      </c>
      <c r="G9" s="4">
        <f t="shared" ref="G9:M9" si="0">G5+(G7*1.5)+(G6*0.8)</f>
        <v>77.400000000000006</v>
      </c>
      <c r="H9" s="4">
        <f t="shared" si="0"/>
        <v>78.400000000000006</v>
      </c>
      <c r="I9" s="4">
        <f t="shared" si="0"/>
        <v>78.400000000000006</v>
      </c>
      <c r="J9" s="4">
        <f t="shared" si="0"/>
        <v>78.400000000000006</v>
      </c>
      <c r="K9" s="4">
        <f t="shared" si="0"/>
        <v>79.400000000000006</v>
      </c>
      <c r="L9" s="4">
        <f t="shared" si="0"/>
        <v>81.400000000000006</v>
      </c>
      <c r="M9" s="4">
        <f t="shared" si="0"/>
        <v>82.4</v>
      </c>
      <c r="N9" s="10">
        <f>SUM(B9:M9)/12</f>
        <v>75.59999999999998</v>
      </c>
      <c r="O9" s="66"/>
      <c r="P9" t="s">
        <v>197</v>
      </c>
    </row>
    <row r="10" spans="1:23" x14ac:dyDescent="0.25">
      <c r="A10" s="81" t="s">
        <v>19</v>
      </c>
      <c r="B10" s="104">
        <v>6</v>
      </c>
      <c r="C10" s="95">
        <v>5</v>
      </c>
      <c r="D10" s="95">
        <v>3</v>
      </c>
      <c r="E10" s="95">
        <v>5</v>
      </c>
      <c r="F10" s="95">
        <v>1</v>
      </c>
      <c r="G10" s="95">
        <v>2</v>
      </c>
      <c r="H10" s="95">
        <v>2</v>
      </c>
      <c r="I10" s="95">
        <v>1</v>
      </c>
      <c r="J10" s="95">
        <v>1</v>
      </c>
      <c r="K10" s="95">
        <v>1</v>
      </c>
      <c r="L10" s="95">
        <v>2</v>
      </c>
      <c r="M10" s="95">
        <v>1</v>
      </c>
      <c r="N10" s="82">
        <v>7</v>
      </c>
      <c r="O10" s="66"/>
      <c r="P10" t="s">
        <v>198</v>
      </c>
    </row>
    <row r="11" spans="1:23" ht="15.75" thickBot="1" x14ac:dyDescent="0.3">
      <c r="A11" s="91"/>
      <c r="B11" s="104" t="s">
        <v>56</v>
      </c>
      <c r="C11" s="95"/>
      <c r="D11" s="112" t="s">
        <v>58</v>
      </c>
      <c r="E11" s="95" t="s">
        <v>59</v>
      </c>
      <c r="F11" s="95"/>
      <c r="G11" s="95" t="s">
        <v>199</v>
      </c>
      <c r="H11" s="95" t="s">
        <v>60</v>
      </c>
      <c r="I11" s="95" t="s">
        <v>60</v>
      </c>
      <c r="J11" s="95"/>
      <c r="K11" s="95" t="s">
        <v>60</v>
      </c>
      <c r="L11" s="95" t="s">
        <v>60</v>
      </c>
      <c r="M11" s="95"/>
      <c r="N11" s="90"/>
      <c r="O11" s="93"/>
    </row>
    <row r="12" spans="1:23" ht="15.75" thickBot="1" x14ac:dyDescent="0.3">
      <c r="A12" s="91"/>
      <c r="B12" s="104"/>
      <c r="C12" s="95"/>
      <c r="D12" s="95" t="s">
        <v>57</v>
      </c>
      <c r="E12" s="95"/>
      <c r="F12" s="95"/>
      <c r="G12" s="95" t="s">
        <v>149</v>
      </c>
      <c r="H12" s="54" t="s">
        <v>212</v>
      </c>
      <c r="I12" s="95" t="s">
        <v>65</v>
      </c>
      <c r="J12" s="95"/>
      <c r="K12" s="95"/>
      <c r="L12" s="95" t="s">
        <v>296</v>
      </c>
      <c r="M12" s="330" t="s">
        <v>118</v>
      </c>
      <c r="N12" s="331"/>
      <c r="Q12" s="27"/>
    </row>
    <row r="13" spans="1:23" x14ac:dyDescent="0.25">
      <c r="E13" s="324"/>
      <c r="F13" s="351" t="s">
        <v>146</v>
      </c>
      <c r="G13" s="27"/>
      <c r="L13" s="47" t="s">
        <v>309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14.25" customHeight="1" x14ac:dyDescent="0.25">
      <c r="E14" s="324"/>
      <c r="F14" s="27"/>
      <c r="G14" s="27"/>
      <c r="M14" s="27"/>
      <c r="N14" s="27"/>
      <c r="O14" s="27"/>
    </row>
    <row r="15" spans="1:23" x14ac:dyDescent="0.25">
      <c r="A15" s="111" t="s">
        <v>0</v>
      </c>
      <c r="B15" s="110"/>
      <c r="C15" s="110"/>
      <c r="D15" s="110"/>
      <c r="E15" s="93"/>
      <c r="F15" s="93"/>
      <c r="G15" s="104"/>
      <c r="H15" s="93"/>
      <c r="I15" s="93"/>
      <c r="J15" s="93"/>
      <c r="K15" s="93"/>
      <c r="L15" s="93"/>
      <c r="M15" s="93"/>
      <c r="N15" s="93"/>
      <c r="O15" s="93"/>
    </row>
    <row r="16" spans="1:23" x14ac:dyDescent="0.25">
      <c r="A16" s="96" t="s">
        <v>54</v>
      </c>
      <c r="B16" s="97" t="s">
        <v>2</v>
      </c>
      <c r="C16" s="97" t="s">
        <v>3</v>
      </c>
      <c r="D16" s="97" t="s">
        <v>4</v>
      </c>
      <c r="E16" s="97" t="s">
        <v>5</v>
      </c>
      <c r="F16" s="97" t="s">
        <v>6</v>
      </c>
      <c r="G16" s="97" t="s">
        <v>7</v>
      </c>
      <c r="H16" s="97" t="s">
        <v>8</v>
      </c>
      <c r="I16" s="97" t="s">
        <v>9</v>
      </c>
      <c r="J16" s="97" t="s">
        <v>10</v>
      </c>
      <c r="K16" s="97" t="s">
        <v>11</v>
      </c>
      <c r="L16" s="97" t="s">
        <v>12</v>
      </c>
      <c r="M16" s="97" t="s">
        <v>13</v>
      </c>
      <c r="N16" s="98" t="s">
        <v>14</v>
      </c>
      <c r="O16" s="93"/>
    </row>
    <row r="17" spans="1:15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3"/>
    </row>
    <row r="18" spans="1:15" x14ac:dyDescent="0.25">
      <c r="A18" s="98" t="s">
        <v>15</v>
      </c>
      <c r="B18" s="105">
        <v>59</v>
      </c>
      <c r="C18" s="97">
        <v>63</v>
      </c>
      <c r="D18" s="97">
        <v>65</v>
      </c>
      <c r="E18" s="97">
        <v>68</v>
      </c>
      <c r="F18" s="97">
        <v>69</v>
      </c>
      <c r="G18" s="106">
        <v>70</v>
      </c>
      <c r="H18" s="97">
        <v>71</v>
      </c>
      <c r="I18" s="97">
        <v>72</v>
      </c>
      <c r="J18" s="97">
        <v>73</v>
      </c>
      <c r="K18" s="97">
        <v>74</v>
      </c>
      <c r="L18" s="97">
        <v>75</v>
      </c>
      <c r="M18" s="97">
        <v>76</v>
      </c>
      <c r="N18" s="99">
        <v>69.583333333333329</v>
      </c>
      <c r="O18" s="93"/>
    </row>
    <row r="19" spans="1:15" x14ac:dyDescent="0.25">
      <c r="A19" s="98" t="s">
        <v>16</v>
      </c>
      <c r="B19" s="100">
        <v>4</v>
      </c>
      <c r="C19" s="100">
        <v>4</v>
      </c>
      <c r="D19" s="100">
        <v>4</v>
      </c>
      <c r="E19" s="100">
        <v>4</v>
      </c>
      <c r="F19" s="100">
        <v>4</v>
      </c>
      <c r="G19" s="100">
        <v>4</v>
      </c>
      <c r="H19" s="100">
        <v>4</v>
      </c>
      <c r="I19" s="100">
        <v>4</v>
      </c>
      <c r="J19" s="100">
        <v>4</v>
      </c>
      <c r="K19" s="100">
        <v>4</v>
      </c>
      <c r="L19" s="100">
        <v>4</v>
      </c>
      <c r="M19" s="100">
        <v>4</v>
      </c>
      <c r="N19" s="101">
        <v>4</v>
      </c>
      <c r="O19" s="93"/>
    </row>
    <row r="20" spans="1:15" x14ac:dyDescent="0.25">
      <c r="A20" s="98" t="s">
        <v>17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1">
        <v>0</v>
      </c>
      <c r="O20" s="93"/>
    </row>
    <row r="21" spans="1:15" x14ac:dyDescent="0.25">
      <c r="A21" s="98"/>
      <c r="B21" s="102"/>
      <c r="C21" s="102"/>
      <c r="D21" s="102"/>
      <c r="E21" s="102"/>
      <c r="F21" s="102"/>
      <c r="G21" s="102"/>
      <c r="H21" s="100"/>
      <c r="I21" s="102"/>
      <c r="J21" s="102"/>
      <c r="K21" s="102"/>
      <c r="L21" s="102"/>
      <c r="M21" s="102"/>
      <c r="N21" s="103"/>
      <c r="O21" s="94"/>
    </row>
    <row r="22" spans="1:15" x14ac:dyDescent="0.25">
      <c r="A22" s="96" t="s">
        <v>18</v>
      </c>
      <c r="B22" s="97">
        <v>62.2</v>
      </c>
      <c r="C22" s="97">
        <v>66.2</v>
      </c>
      <c r="D22" s="97">
        <v>68.2</v>
      </c>
      <c r="E22" s="97">
        <v>71.2</v>
      </c>
      <c r="F22" s="97">
        <v>72.2</v>
      </c>
      <c r="G22" s="97">
        <v>73.2</v>
      </c>
      <c r="H22" s="97">
        <v>74.2</v>
      </c>
      <c r="I22" s="97">
        <v>75.2</v>
      </c>
      <c r="J22" s="97">
        <v>76.2</v>
      </c>
      <c r="K22" s="97">
        <v>77.2</v>
      </c>
      <c r="L22" s="97">
        <v>78.2</v>
      </c>
      <c r="M22" s="97">
        <v>79.2</v>
      </c>
      <c r="N22" s="101">
        <v>72.783333333333346</v>
      </c>
      <c r="O22" s="108"/>
    </row>
    <row r="23" spans="1:15" x14ac:dyDescent="0.25">
      <c r="A23" s="107" t="s">
        <v>19</v>
      </c>
      <c r="B23" s="104">
        <v>5</v>
      </c>
      <c r="C23" s="95">
        <v>4</v>
      </c>
      <c r="D23" s="95">
        <v>2</v>
      </c>
      <c r="E23" s="95">
        <v>3</v>
      </c>
      <c r="F23" s="95">
        <v>1</v>
      </c>
      <c r="G23" s="95">
        <v>1</v>
      </c>
      <c r="H23" s="95">
        <v>1</v>
      </c>
      <c r="I23" s="95">
        <v>1</v>
      </c>
      <c r="J23" s="95">
        <v>1</v>
      </c>
      <c r="K23" s="95">
        <v>1</v>
      </c>
      <c r="L23" s="95">
        <v>1</v>
      </c>
      <c r="M23" s="95">
        <v>1</v>
      </c>
      <c r="N23" s="109">
        <v>22</v>
      </c>
      <c r="O23" s="93"/>
    </row>
    <row r="24" spans="1:15" x14ac:dyDescent="0.25">
      <c r="A24" s="92"/>
      <c r="B24" s="92" t="s">
        <v>55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x14ac:dyDescent="0.25">
      <c r="A26" s="400" t="s">
        <v>295</v>
      </c>
      <c r="B26" s="400"/>
      <c r="C26" s="400"/>
      <c r="D26" s="400"/>
    </row>
    <row r="27" spans="1:15" x14ac:dyDescent="0.25">
      <c r="A27" s="303" t="s">
        <v>54</v>
      </c>
      <c r="B27" s="304" t="s">
        <v>2</v>
      </c>
      <c r="C27" s="304" t="s">
        <v>3</v>
      </c>
      <c r="D27" s="304" t="s">
        <v>4</v>
      </c>
      <c r="E27" s="304" t="s">
        <v>5</v>
      </c>
      <c r="F27" s="304" t="s">
        <v>6</v>
      </c>
      <c r="G27" s="304" t="s">
        <v>7</v>
      </c>
      <c r="H27" s="304" t="s">
        <v>8</v>
      </c>
      <c r="I27" s="304" t="s">
        <v>9</v>
      </c>
      <c r="J27" s="304" t="s">
        <v>10</v>
      </c>
      <c r="K27" s="304" t="s">
        <v>11</v>
      </c>
      <c r="L27" s="304" t="s">
        <v>12</v>
      </c>
      <c r="M27" s="304" t="s">
        <v>13</v>
      </c>
      <c r="N27" s="305" t="s">
        <v>14</v>
      </c>
    </row>
    <row r="28" spans="1:15" x14ac:dyDescent="0.2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</row>
    <row r="29" spans="1:15" x14ac:dyDescent="0.25">
      <c r="A29" s="305" t="s">
        <v>15</v>
      </c>
      <c r="B29" s="322">
        <f>80-19+3</f>
        <v>64</v>
      </c>
      <c r="C29" s="318">
        <v>66</v>
      </c>
      <c r="D29" s="318">
        <v>70</v>
      </c>
      <c r="E29" s="318">
        <v>70</v>
      </c>
      <c r="F29" s="318">
        <v>70</v>
      </c>
      <c r="G29" s="319">
        <v>70</v>
      </c>
      <c r="H29" s="318">
        <v>71</v>
      </c>
      <c r="I29" s="318">
        <v>73</v>
      </c>
      <c r="J29" s="318">
        <v>75</v>
      </c>
      <c r="K29" s="318">
        <v>76</v>
      </c>
      <c r="L29" s="318">
        <v>77</v>
      </c>
      <c r="M29" s="318">
        <v>82</v>
      </c>
      <c r="N29" s="8">
        <f>SUM(B29:M29)/12</f>
        <v>72</v>
      </c>
    </row>
    <row r="30" spans="1:15" x14ac:dyDescent="0.25">
      <c r="A30" s="305" t="s">
        <v>16</v>
      </c>
      <c r="B30" s="44">
        <f>3-2</f>
        <v>1</v>
      </c>
      <c r="C30" s="44">
        <v>1</v>
      </c>
      <c r="D30" s="44">
        <v>1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10">
        <f>SUM(B30:M30)/12</f>
        <v>1</v>
      </c>
    </row>
    <row r="31" spans="1:15" x14ac:dyDescent="0.25">
      <c r="A31" s="305" t="s">
        <v>17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10">
        <f>SUM(B31:M31)/12</f>
        <v>0</v>
      </c>
    </row>
    <row r="32" spans="1:15" x14ac:dyDescent="0.25">
      <c r="A32" s="305"/>
      <c r="B32" s="11"/>
      <c r="C32" s="11"/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2"/>
    </row>
    <row r="33" spans="1:15" x14ac:dyDescent="0.25">
      <c r="A33" s="303" t="s">
        <v>62</v>
      </c>
      <c r="B33" s="4">
        <f>B29+(B31*1.5)+(B30*0.8)</f>
        <v>64.8</v>
      </c>
      <c r="C33" s="4">
        <f>C29+(C31*1.5)+(C30*0.8)</f>
        <v>66.8</v>
      </c>
      <c r="D33" s="4">
        <f>D29+(D31*1.5)+(D30*0.8)</f>
        <v>70.8</v>
      </c>
      <c r="E33" s="4">
        <f>E29+(E31*1.5)+(E30*0.8)</f>
        <v>70.8</v>
      </c>
      <c r="F33" s="4">
        <f>F29+(F31*1.5)+(F30*0.8)</f>
        <v>70.8</v>
      </c>
      <c r="G33" s="4">
        <f t="shared" ref="G33:M33" si="1">G29+(G31*1.5)+(G30*0.8)</f>
        <v>70.8</v>
      </c>
      <c r="H33" s="4">
        <f t="shared" si="1"/>
        <v>71.8</v>
      </c>
      <c r="I33" s="4">
        <f t="shared" si="1"/>
        <v>73.8</v>
      </c>
      <c r="J33" s="4">
        <f t="shared" si="1"/>
        <v>75.8</v>
      </c>
      <c r="K33" s="4">
        <f t="shared" si="1"/>
        <v>76.8</v>
      </c>
      <c r="L33" s="4">
        <f t="shared" si="1"/>
        <v>77.8</v>
      </c>
      <c r="M33" s="4">
        <f t="shared" si="1"/>
        <v>82.8</v>
      </c>
      <c r="N33" s="10">
        <f>SUM(B33:M33)/12</f>
        <v>72.799999999999983</v>
      </c>
    </row>
    <row r="34" spans="1:15" x14ac:dyDescent="0.25">
      <c r="A34" s="107" t="s">
        <v>19</v>
      </c>
      <c r="B34" s="104">
        <v>3</v>
      </c>
      <c r="C34" s="95">
        <v>2</v>
      </c>
      <c r="D34" s="95">
        <v>4</v>
      </c>
      <c r="E34" s="95">
        <v>0</v>
      </c>
      <c r="F34" s="95">
        <v>0</v>
      </c>
      <c r="G34" s="95">
        <v>0</v>
      </c>
      <c r="H34" s="95">
        <v>1</v>
      </c>
      <c r="I34" s="95">
        <v>2</v>
      </c>
      <c r="J34" s="95">
        <v>2</v>
      </c>
      <c r="K34" s="95">
        <v>1</v>
      </c>
      <c r="L34" s="95">
        <v>1</v>
      </c>
      <c r="M34" s="95">
        <v>5</v>
      </c>
      <c r="N34" s="109">
        <f>SUM(B34:M34)</f>
        <v>21</v>
      </c>
    </row>
    <row r="35" spans="1:15" x14ac:dyDescent="0.25">
      <c r="B35" s="47" t="s">
        <v>63</v>
      </c>
    </row>
    <row r="36" spans="1:15" x14ac:dyDescent="0.25">
      <c r="B36" s="47" t="s">
        <v>123</v>
      </c>
    </row>
    <row r="37" spans="1:15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x14ac:dyDescent="0.25">
      <c r="A38" s="358" t="s">
        <v>200</v>
      </c>
      <c r="B38" s="358"/>
      <c r="C38" s="358"/>
      <c r="D38" s="358"/>
    </row>
    <row r="39" spans="1:15" x14ac:dyDescent="0.25">
      <c r="A39" s="303" t="s">
        <v>54</v>
      </c>
      <c r="B39" s="304" t="s">
        <v>2</v>
      </c>
      <c r="C39" s="304" t="s">
        <v>3</v>
      </c>
      <c r="D39" s="304" t="s">
        <v>4</v>
      </c>
      <c r="E39" s="304" t="s">
        <v>5</v>
      </c>
      <c r="F39" s="304" t="s">
        <v>6</v>
      </c>
      <c r="G39" s="304" t="s">
        <v>7</v>
      </c>
      <c r="H39" s="304" t="s">
        <v>8</v>
      </c>
      <c r="I39" s="304" t="s">
        <v>9</v>
      </c>
      <c r="J39" s="304" t="s">
        <v>10</v>
      </c>
      <c r="K39" s="304" t="s">
        <v>11</v>
      </c>
      <c r="L39" s="304" t="s">
        <v>12</v>
      </c>
      <c r="M39" s="304" t="s">
        <v>13</v>
      </c>
      <c r="N39" s="305" t="s">
        <v>14</v>
      </c>
    </row>
    <row r="40" spans="1:15" x14ac:dyDescent="0.2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</row>
    <row r="41" spans="1:15" x14ac:dyDescent="0.25">
      <c r="A41" s="305" t="s">
        <v>15</v>
      </c>
      <c r="B41" s="322">
        <f>80-20+3</f>
        <v>63</v>
      </c>
      <c r="C41" s="318">
        <v>65</v>
      </c>
      <c r="D41" s="318">
        <v>69</v>
      </c>
      <c r="E41" s="318">
        <v>69</v>
      </c>
      <c r="F41" s="318">
        <v>69</v>
      </c>
      <c r="G41" s="319">
        <v>69</v>
      </c>
      <c r="H41" s="318">
        <v>70</v>
      </c>
      <c r="I41" s="318">
        <v>72</v>
      </c>
      <c r="J41" s="318">
        <v>74</v>
      </c>
      <c r="K41" s="318">
        <v>75</v>
      </c>
      <c r="L41" s="318">
        <v>76</v>
      </c>
      <c r="M41" s="318">
        <v>81</v>
      </c>
      <c r="N41" s="8">
        <f>SUM(B41:M41)/12</f>
        <v>71</v>
      </c>
    </row>
    <row r="42" spans="1:15" x14ac:dyDescent="0.25">
      <c r="A42" s="305" t="s">
        <v>16</v>
      </c>
      <c r="B42" s="44">
        <f>3-2</f>
        <v>1</v>
      </c>
      <c r="C42" s="44">
        <v>1</v>
      </c>
      <c r="D42" s="44">
        <v>1</v>
      </c>
      <c r="E42" s="44">
        <v>1</v>
      </c>
      <c r="F42" s="44">
        <v>1</v>
      </c>
      <c r="G42" s="44">
        <v>1</v>
      </c>
      <c r="H42" s="44">
        <v>1</v>
      </c>
      <c r="I42" s="44">
        <v>1</v>
      </c>
      <c r="J42" s="44">
        <v>1</v>
      </c>
      <c r="K42" s="44">
        <v>1</v>
      </c>
      <c r="L42" s="44">
        <v>1</v>
      </c>
      <c r="M42" s="44">
        <v>1</v>
      </c>
      <c r="N42" s="10">
        <f>SUM(B42:M42)/12</f>
        <v>1</v>
      </c>
    </row>
    <row r="43" spans="1:15" x14ac:dyDescent="0.25">
      <c r="A43" s="305" t="s">
        <v>17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0">
        <f>SUM(B43:M43)/12</f>
        <v>0</v>
      </c>
    </row>
    <row r="44" spans="1:15" x14ac:dyDescent="0.25">
      <c r="A44" s="305"/>
      <c r="B44" s="11"/>
      <c r="C44" s="11"/>
      <c r="D44" s="11"/>
      <c r="E44" s="11"/>
      <c r="F44" s="11"/>
      <c r="G44" s="11"/>
      <c r="H44" s="9"/>
      <c r="I44" s="11"/>
      <c r="J44" s="11"/>
      <c r="K44" s="11"/>
      <c r="L44" s="11"/>
      <c r="M44" s="11"/>
      <c r="N44" s="12"/>
    </row>
    <row r="45" spans="1:15" x14ac:dyDescent="0.25">
      <c r="A45" s="303" t="s">
        <v>62</v>
      </c>
      <c r="B45" s="4">
        <f>B41+(B43*1.5)+(B42*0.8)</f>
        <v>63.8</v>
      </c>
      <c r="C45" s="4">
        <f>C41+(C43*1.5)+(C42*0.8)</f>
        <v>65.8</v>
      </c>
      <c r="D45" s="4">
        <f>D41+(D43*1.5)+(D42*0.8)</f>
        <v>69.8</v>
      </c>
      <c r="E45" s="4">
        <f>E41+(E43*1.5)+(E42*0.8)</f>
        <v>69.8</v>
      </c>
      <c r="F45" s="4">
        <f>F41+(F43*1.5)+(F42*0.8)</f>
        <v>69.8</v>
      </c>
      <c r="G45" s="4">
        <f t="shared" ref="G45:M45" si="2">G41+(G43*1.5)+(G42*0.8)</f>
        <v>69.8</v>
      </c>
      <c r="H45" s="4">
        <f t="shared" si="2"/>
        <v>70.8</v>
      </c>
      <c r="I45" s="4">
        <f t="shared" si="2"/>
        <v>72.8</v>
      </c>
      <c r="J45" s="4">
        <f t="shared" si="2"/>
        <v>74.8</v>
      </c>
      <c r="K45" s="4">
        <f t="shared" si="2"/>
        <v>75.8</v>
      </c>
      <c r="L45" s="4">
        <f t="shared" si="2"/>
        <v>76.8</v>
      </c>
      <c r="M45" s="4">
        <f t="shared" si="2"/>
        <v>81.8</v>
      </c>
      <c r="N45" s="10">
        <f>SUM(B45:M45)/12</f>
        <v>71.799999999999983</v>
      </c>
    </row>
    <row r="46" spans="1:15" x14ac:dyDescent="0.25">
      <c r="A46" s="107" t="s">
        <v>19</v>
      </c>
      <c r="B46" s="104">
        <v>3</v>
      </c>
      <c r="C46" s="95">
        <v>2</v>
      </c>
      <c r="D46" s="95">
        <v>4</v>
      </c>
      <c r="E46" s="95">
        <v>0</v>
      </c>
      <c r="F46" s="95">
        <v>0</v>
      </c>
      <c r="G46" s="95">
        <v>0</v>
      </c>
      <c r="H46" s="95">
        <v>1</v>
      </c>
      <c r="I46" s="95">
        <v>2</v>
      </c>
      <c r="J46" s="95">
        <v>2</v>
      </c>
      <c r="K46" s="95">
        <v>1</v>
      </c>
      <c r="L46" s="95">
        <v>1</v>
      </c>
      <c r="M46" s="95">
        <v>5</v>
      </c>
      <c r="N46" s="109">
        <f>SUM(B46:M46)</f>
        <v>21</v>
      </c>
    </row>
    <row r="47" spans="1:15" x14ac:dyDescent="0.25">
      <c r="B47" t="s">
        <v>66</v>
      </c>
      <c r="C47" t="s">
        <v>66</v>
      </c>
      <c r="D47" t="s">
        <v>66</v>
      </c>
      <c r="I47" t="s">
        <v>66</v>
      </c>
      <c r="L47" t="s">
        <v>66</v>
      </c>
      <c r="M47" t="s">
        <v>66</v>
      </c>
    </row>
    <row r="48" spans="1:15" x14ac:dyDescent="0.25">
      <c r="B48" s="47" t="s">
        <v>77</v>
      </c>
    </row>
    <row r="49" spans="1:15" x14ac:dyDescent="0.25">
      <c r="B49" s="47" t="s">
        <v>123</v>
      </c>
    </row>
    <row r="50" spans="1:15" x14ac:dyDescent="0.25">
      <c r="A50" s="92"/>
      <c r="B50" s="389" t="s">
        <v>201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2" spans="1:15" x14ac:dyDescent="0.25">
      <c r="A52" s="358" t="s">
        <v>141</v>
      </c>
      <c r="B52" s="358"/>
      <c r="C52" s="358"/>
      <c r="D52" s="358"/>
    </row>
    <row r="53" spans="1:15" x14ac:dyDescent="0.25">
      <c r="A53" s="303" t="s">
        <v>54</v>
      </c>
      <c r="B53" s="304" t="s">
        <v>2</v>
      </c>
      <c r="C53" s="304" t="s">
        <v>3</v>
      </c>
      <c r="D53" s="304" t="s">
        <v>4</v>
      </c>
      <c r="E53" s="304" t="s">
        <v>5</v>
      </c>
      <c r="F53" s="304" t="s">
        <v>6</v>
      </c>
      <c r="G53" s="304" t="s">
        <v>7</v>
      </c>
      <c r="H53" s="304" t="s">
        <v>8</v>
      </c>
      <c r="I53" s="304" t="s">
        <v>9</v>
      </c>
      <c r="J53" s="304" t="s">
        <v>10</v>
      </c>
      <c r="K53" s="304" t="s">
        <v>11</v>
      </c>
      <c r="L53" s="304" t="s">
        <v>12</v>
      </c>
      <c r="M53" s="304" t="s">
        <v>13</v>
      </c>
      <c r="N53" s="305" t="s">
        <v>14</v>
      </c>
    </row>
    <row r="54" spans="1:15" x14ac:dyDescent="0.25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</row>
    <row r="55" spans="1:15" x14ac:dyDescent="0.25">
      <c r="A55" s="305" t="s">
        <v>15</v>
      </c>
      <c r="B55" s="322">
        <f>78-22+3+2</f>
        <v>61</v>
      </c>
      <c r="C55" s="318">
        <v>63</v>
      </c>
      <c r="D55" s="318">
        <v>67</v>
      </c>
      <c r="E55" s="318">
        <v>67</v>
      </c>
      <c r="F55" s="318">
        <v>67</v>
      </c>
      <c r="G55" s="319">
        <v>67</v>
      </c>
      <c r="H55" s="318">
        <v>68</v>
      </c>
      <c r="I55" s="318">
        <v>70</v>
      </c>
      <c r="J55" s="318">
        <v>72</v>
      </c>
      <c r="K55" s="318">
        <v>73</v>
      </c>
      <c r="L55" s="318">
        <v>74</v>
      </c>
      <c r="M55" s="318">
        <v>79</v>
      </c>
      <c r="N55" s="8">
        <f>SUM(B55:M55)/12</f>
        <v>69</v>
      </c>
    </row>
    <row r="56" spans="1:15" x14ac:dyDescent="0.25">
      <c r="A56" s="305" t="s">
        <v>16</v>
      </c>
      <c r="B56" s="44">
        <f>3-2</f>
        <v>1</v>
      </c>
      <c r="C56" s="44">
        <v>1</v>
      </c>
      <c r="D56" s="44">
        <v>1</v>
      </c>
      <c r="E56" s="44">
        <v>1</v>
      </c>
      <c r="F56" s="44">
        <v>1</v>
      </c>
      <c r="G56" s="44">
        <v>1</v>
      </c>
      <c r="H56" s="44">
        <v>1</v>
      </c>
      <c r="I56" s="44">
        <v>1</v>
      </c>
      <c r="J56" s="44">
        <v>1</v>
      </c>
      <c r="K56" s="44">
        <v>1</v>
      </c>
      <c r="L56" s="44">
        <v>1</v>
      </c>
      <c r="M56" s="44">
        <v>1</v>
      </c>
      <c r="N56" s="10">
        <f>SUM(B56:M56)/12</f>
        <v>1</v>
      </c>
    </row>
    <row r="57" spans="1:15" x14ac:dyDescent="0.25">
      <c r="A57" s="305" t="s">
        <v>17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10">
        <f>SUM(B57:M57)/12</f>
        <v>0</v>
      </c>
    </row>
    <row r="58" spans="1:15" x14ac:dyDescent="0.25">
      <c r="A58" s="305"/>
      <c r="B58" s="11"/>
      <c r="C58" s="11"/>
      <c r="D58" s="11"/>
      <c r="E58" s="11"/>
      <c r="F58" s="11"/>
      <c r="G58" s="11"/>
      <c r="H58" s="9"/>
      <c r="I58" s="11"/>
      <c r="J58" s="11"/>
      <c r="K58" s="11"/>
      <c r="L58" s="11"/>
      <c r="M58" s="11"/>
      <c r="N58" s="12"/>
    </row>
    <row r="59" spans="1:15" x14ac:dyDescent="0.25">
      <c r="A59" s="303" t="s">
        <v>62</v>
      </c>
      <c r="B59" s="4">
        <f>B55+(B57*1.5)+(B56*0.8)</f>
        <v>61.8</v>
      </c>
      <c r="C59" s="4">
        <f>C55+(C57*1.5)+(C56*0.8)</f>
        <v>63.8</v>
      </c>
      <c r="D59" s="4">
        <f>D55+(D57*1.5)+(D56*0.8)</f>
        <v>67.8</v>
      </c>
      <c r="E59" s="4">
        <f>E55+(E57*1.5)+(E56*0.8)</f>
        <v>67.8</v>
      </c>
      <c r="F59" s="4">
        <f>F55+(F57*1.5)+(F56*0.8)</f>
        <v>67.8</v>
      </c>
      <c r="G59" s="4">
        <f t="shared" ref="G59:M59" si="3">G55+(G57*1.5)+(G56*0.8)</f>
        <v>67.8</v>
      </c>
      <c r="H59" s="4">
        <f t="shared" si="3"/>
        <v>68.8</v>
      </c>
      <c r="I59" s="4">
        <f t="shared" si="3"/>
        <v>70.8</v>
      </c>
      <c r="J59" s="4">
        <f t="shared" si="3"/>
        <v>72.8</v>
      </c>
      <c r="K59" s="4">
        <f t="shared" si="3"/>
        <v>73.8</v>
      </c>
      <c r="L59" s="4">
        <f t="shared" si="3"/>
        <v>74.8</v>
      </c>
      <c r="M59" s="4">
        <f t="shared" si="3"/>
        <v>79.8</v>
      </c>
      <c r="N59" s="10">
        <f>SUM(B59:M59)/12</f>
        <v>69.799999999999983</v>
      </c>
    </row>
    <row r="60" spans="1:15" x14ac:dyDescent="0.25">
      <c r="A60" s="107" t="s">
        <v>19</v>
      </c>
      <c r="B60" s="104">
        <v>3</v>
      </c>
      <c r="C60" s="95">
        <v>2</v>
      </c>
      <c r="D60" s="95">
        <v>4</v>
      </c>
      <c r="E60" s="95">
        <v>0</v>
      </c>
      <c r="F60" s="95">
        <v>0</v>
      </c>
      <c r="G60" s="95">
        <v>0</v>
      </c>
      <c r="H60" s="95">
        <v>1</v>
      </c>
      <c r="I60" s="95">
        <v>2</v>
      </c>
      <c r="J60" s="95">
        <v>2</v>
      </c>
      <c r="K60" s="95">
        <v>1</v>
      </c>
      <c r="L60" s="95">
        <v>1</v>
      </c>
      <c r="M60" s="95">
        <v>5</v>
      </c>
      <c r="N60" s="109">
        <f>SUM(B60:M60)</f>
        <v>21</v>
      </c>
    </row>
    <row r="61" spans="1:15" x14ac:dyDescent="0.25">
      <c r="B61" t="s">
        <v>66</v>
      </c>
      <c r="C61" t="s">
        <v>66</v>
      </c>
      <c r="D61" t="s">
        <v>66</v>
      </c>
      <c r="I61" t="s">
        <v>66</v>
      </c>
      <c r="L61" t="s">
        <v>66</v>
      </c>
      <c r="M61" t="s">
        <v>66</v>
      </c>
    </row>
    <row r="62" spans="1:15" x14ac:dyDescent="0.25">
      <c r="B62" s="47" t="s">
        <v>122</v>
      </c>
    </row>
    <row r="63" spans="1:15" x14ac:dyDescent="0.25">
      <c r="B63" s="47" t="s">
        <v>123</v>
      </c>
    </row>
    <row r="64" spans="1:15" x14ac:dyDescent="0.25">
      <c r="B64" s="352" t="s">
        <v>152</v>
      </c>
    </row>
    <row r="65" spans="1:14" x14ac:dyDescent="0.25">
      <c r="A65" s="358" t="s">
        <v>148</v>
      </c>
      <c r="B65" s="358"/>
      <c r="C65" s="358"/>
      <c r="D65" s="358"/>
      <c r="E65" s="358"/>
      <c r="F65" s="358" t="s">
        <v>62</v>
      </c>
    </row>
    <row r="67" spans="1:14" x14ac:dyDescent="0.25">
      <c r="A67" s="303" t="s">
        <v>54</v>
      </c>
      <c r="B67" s="304" t="s">
        <v>2</v>
      </c>
      <c r="C67" s="304" t="s">
        <v>3</v>
      </c>
      <c r="D67" s="304" t="s">
        <v>4</v>
      </c>
      <c r="E67" s="304" t="s">
        <v>5</v>
      </c>
      <c r="F67" s="304" t="s">
        <v>6</v>
      </c>
      <c r="G67" s="304" t="s">
        <v>7</v>
      </c>
      <c r="H67" s="304" t="s">
        <v>8</v>
      </c>
      <c r="I67" s="304" t="s">
        <v>9</v>
      </c>
      <c r="J67" s="304" t="s">
        <v>10</v>
      </c>
      <c r="K67" s="304" t="s">
        <v>11</v>
      </c>
      <c r="L67" s="304" t="s">
        <v>12</v>
      </c>
      <c r="M67" s="304" t="s">
        <v>13</v>
      </c>
      <c r="N67" s="305" t="s">
        <v>14</v>
      </c>
    </row>
    <row r="68" spans="1:14" x14ac:dyDescent="0.2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</row>
    <row r="69" spans="1:14" x14ac:dyDescent="0.25">
      <c r="A69" s="305" t="s">
        <v>15</v>
      </c>
      <c r="B69" s="322">
        <f>78-22+2+1</f>
        <v>59</v>
      </c>
      <c r="C69" s="318">
        <v>60</v>
      </c>
      <c r="D69" s="318">
        <v>61</v>
      </c>
      <c r="E69" s="318">
        <v>61</v>
      </c>
      <c r="F69" s="318">
        <v>61</v>
      </c>
      <c r="G69" s="319">
        <v>61</v>
      </c>
      <c r="H69" s="318">
        <v>61</v>
      </c>
      <c r="I69" s="318">
        <v>62</v>
      </c>
      <c r="J69" s="318">
        <v>62</v>
      </c>
      <c r="K69" s="318">
        <v>62</v>
      </c>
      <c r="L69" s="318">
        <v>63</v>
      </c>
      <c r="M69" s="318">
        <v>64</v>
      </c>
      <c r="N69" s="8">
        <f>SUM(B69:M69)/12</f>
        <v>61.416666666666664</v>
      </c>
    </row>
    <row r="70" spans="1:14" x14ac:dyDescent="0.25">
      <c r="A70" s="305" t="s">
        <v>16</v>
      </c>
      <c r="B70" s="44">
        <f>3-2</f>
        <v>1</v>
      </c>
      <c r="C70" s="44">
        <v>1</v>
      </c>
      <c r="D70" s="44">
        <v>1</v>
      </c>
      <c r="E70" s="44">
        <v>1</v>
      </c>
      <c r="F70" s="44">
        <v>1</v>
      </c>
      <c r="G70" s="44">
        <v>1</v>
      </c>
      <c r="H70" s="44">
        <v>1</v>
      </c>
      <c r="I70" s="44">
        <v>1</v>
      </c>
      <c r="J70" s="44">
        <v>1</v>
      </c>
      <c r="K70" s="44">
        <v>1</v>
      </c>
      <c r="L70" s="44">
        <v>1</v>
      </c>
      <c r="M70" s="44">
        <v>1</v>
      </c>
      <c r="N70" s="10">
        <f>SUM(B70:M70)/12</f>
        <v>1</v>
      </c>
    </row>
    <row r="71" spans="1:14" x14ac:dyDescent="0.25">
      <c r="A71" s="305" t="s">
        <v>17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10">
        <f>SUM(B71:M71)/12</f>
        <v>0</v>
      </c>
    </row>
    <row r="72" spans="1:14" x14ac:dyDescent="0.25">
      <c r="A72" s="305"/>
      <c r="B72" s="11"/>
      <c r="C72" s="11"/>
      <c r="D72" s="11"/>
      <c r="E72" s="11"/>
      <c r="F72" s="11"/>
      <c r="G72" s="11"/>
      <c r="H72" s="9"/>
      <c r="I72" s="11"/>
      <c r="J72" s="11"/>
      <c r="K72" s="11"/>
      <c r="L72" s="11"/>
      <c r="M72" s="11"/>
      <c r="N72" s="12"/>
    </row>
    <row r="73" spans="1:14" x14ac:dyDescent="0.25">
      <c r="A73" s="303" t="s">
        <v>62</v>
      </c>
      <c r="B73" s="4">
        <f>B69+(B71*1.5)+(B70*0.8)</f>
        <v>59.8</v>
      </c>
      <c r="C73" s="4">
        <f>C69+(C71*1.5)+(C70*0.8)</f>
        <v>60.8</v>
      </c>
      <c r="D73" s="4">
        <f>D69+(D71*1.5)+(D70*0.8)</f>
        <v>61.8</v>
      </c>
      <c r="E73" s="4">
        <f>E69+(E71*1.5)+(E70*0.8)</f>
        <v>61.8</v>
      </c>
      <c r="F73" s="4">
        <f>F69+(F71*1.5)+(F70*0.8)</f>
        <v>61.8</v>
      </c>
      <c r="G73" s="4">
        <f t="shared" ref="G73:M73" si="4">G69+(G71*1.5)+(G70*0.8)</f>
        <v>61.8</v>
      </c>
      <c r="H73" s="4">
        <f t="shared" si="4"/>
        <v>61.8</v>
      </c>
      <c r="I73" s="4">
        <f t="shared" si="4"/>
        <v>62.8</v>
      </c>
      <c r="J73" s="4">
        <f t="shared" si="4"/>
        <v>62.8</v>
      </c>
      <c r="K73" s="4">
        <f t="shared" si="4"/>
        <v>62.8</v>
      </c>
      <c r="L73" s="4">
        <f t="shared" si="4"/>
        <v>63.8</v>
      </c>
      <c r="M73" s="4">
        <f t="shared" si="4"/>
        <v>64.8</v>
      </c>
      <c r="N73" s="10">
        <f>SUM(B73:M73)/12</f>
        <v>62.216666666666661</v>
      </c>
    </row>
    <row r="74" spans="1:14" x14ac:dyDescent="0.25">
      <c r="A74" s="107" t="s">
        <v>19</v>
      </c>
      <c r="B74" s="104">
        <v>3</v>
      </c>
      <c r="C74" s="95">
        <v>1</v>
      </c>
      <c r="D74" s="95">
        <v>1</v>
      </c>
      <c r="E74" s="95">
        <v>0</v>
      </c>
      <c r="F74" s="95">
        <v>0</v>
      </c>
      <c r="G74" s="95">
        <v>0</v>
      </c>
      <c r="H74" s="95">
        <v>0</v>
      </c>
      <c r="I74" s="95">
        <v>1</v>
      </c>
      <c r="J74" s="95">
        <v>0</v>
      </c>
      <c r="K74" s="95">
        <v>0</v>
      </c>
      <c r="L74" s="95">
        <v>1</v>
      </c>
      <c r="M74" s="95">
        <v>1</v>
      </c>
      <c r="N74" s="109">
        <f>SUM(B74:M74)</f>
        <v>8</v>
      </c>
    </row>
    <row r="75" spans="1:14" x14ac:dyDescent="0.25">
      <c r="B75" t="s">
        <v>66</v>
      </c>
      <c r="C75" t="s">
        <v>66</v>
      </c>
      <c r="D75" t="s">
        <v>66</v>
      </c>
      <c r="I75" t="s">
        <v>66</v>
      </c>
      <c r="L75" t="s">
        <v>66</v>
      </c>
      <c r="M75" t="s">
        <v>66</v>
      </c>
    </row>
    <row r="77" spans="1:14" x14ac:dyDescent="0.25">
      <c r="A77" s="323" t="s">
        <v>154</v>
      </c>
      <c r="B77" s="349">
        <v>2</v>
      </c>
      <c r="C77" s="349">
        <v>1</v>
      </c>
      <c r="D77" s="349">
        <v>3</v>
      </c>
      <c r="E77" s="349">
        <v>0</v>
      </c>
      <c r="F77" s="349">
        <v>0</v>
      </c>
      <c r="G77" s="353">
        <v>0</v>
      </c>
      <c r="H77" s="353">
        <v>1</v>
      </c>
      <c r="I77" s="353">
        <v>1</v>
      </c>
      <c r="J77" s="353">
        <v>2</v>
      </c>
      <c r="K77" s="353">
        <v>1</v>
      </c>
      <c r="L77" s="353">
        <v>0</v>
      </c>
      <c r="M77" s="353">
        <v>4</v>
      </c>
      <c r="N77">
        <f>SUM(B77:M77)</f>
        <v>15</v>
      </c>
    </row>
    <row r="79" spans="1:14" x14ac:dyDescent="0.25">
      <c r="B79" s="47" t="s">
        <v>122</v>
      </c>
    </row>
    <row r="80" spans="1:14" x14ac:dyDescent="0.25">
      <c r="B80" s="47" t="s">
        <v>123</v>
      </c>
    </row>
    <row r="81" spans="1:16" x14ac:dyDescent="0.25">
      <c r="B81" s="47" t="s">
        <v>152</v>
      </c>
    </row>
    <row r="83" spans="1:16" x14ac:dyDescent="0.25">
      <c r="A83" s="328" t="s">
        <v>124</v>
      </c>
      <c r="B83" s="329"/>
      <c r="C83" s="329"/>
      <c r="D83" s="329"/>
      <c r="E83" s="329"/>
      <c r="F83" s="329"/>
      <c r="G83" s="329"/>
      <c r="M83" s="93"/>
      <c r="N83" s="93"/>
      <c r="O83" s="93"/>
    </row>
    <row r="84" spans="1:16" x14ac:dyDescent="0.25">
      <c r="A84" s="325" t="s">
        <v>54</v>
      </c>
      <c r="B84" s="326" t="s">
        <v>2</v>
      </c>
      <c r="C84" s="326" t="s">
        <v>3</v>
      </c>
      <c r="D84" s="326" t="s">
        <v>4</v>
      </c>
      <c r="E84" s="304" t="s">
        <v>5</v>
      </c>
      <c r="F84" s="304" t="s">
        <v>6</v>
      </c>
      <c r="G84" s="304" t="s">
        <v>7</v>
      </c>
      <c r="H84" s="304" t="s">
        <v>8</v>
      </c>
      <c r="I84" s="304" t="s">
        <v>9</v>
      </c>
      <c r="J84" s="304" t="s">
        <v>10</v>
      </c>
      <c r="K84" s="304" t="s">
        <v>11</v>
      </c>
      <c r="L84" s="304" t="s">
        <v>12</v>
      </c>
      <c r="M84" s="304" t="s">
        <v>13</v>
      </c>
      <c r="N84" s="305" t="s">
        <v>14</v>
      </c>
      <c r="O84" s="93"/>
    </row>
    <row r="85" spans="1:16" x14ac:dyDescent="0.25">
      <c r="A85" s="327"/>
      <c r="B85" s="327"/>
      <c r="C85" s="327"/>
      <c r="D85" s="327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93"/>
    </row>
    <row r="86" spans="1:16" x14ac:dyDescent="0.25">
      <c r="A86" s="327" t="s">
        <v>15</v>
      </c>
      <c r="B86" s="321">
        <f>53+5+0.5</f>
        <v>58.5</v>
      </c>
      <c r="C86" s="41">
        <v>64</v>
      </c>
      <c r="D86" s="41">
        <f>64+2+0.25</f>
        <v>66.25</v>
      </c>
      <c r="E86" s="41">
        <f>67+4+0.5</f>
        <v>71.5</v>
      </c>
      <c r="F86" s="41">
        <v>73.75</v>
      </c>
      <c r="G86" s="42">
        <f>74+1-0.5</f>
        <v>74.5</v>
      </c>
      <c r="H86" s="41">
        <f>74+1</f>
        <v>75</v>
      </c>
      <c r="I86" s="41">
        <v>76</v>
      </c>
      <c r="J86" s="41">
        <v>76</v>
      </c>
      <c r="K86" s="41">
        <v>77</v>
      </c>
      <c r="L86" s="41">
        <v>78</v>
      </c>
      <c r="M86" s="4">
        <v>78</v>
      </c>
      <c r="N86" s="8">
        <f>SUM(B86:M86)/12</f>
        <v>72.375</v>
      </c>
      <c r="O86" s="93"/>
    </row>
    <row r="87" spans="1:16" x14ac:dyDescent="0.25">
      <c r="A87" s="327" t="s">
        <v>16</v>
      </c>
      <c r="B87" s="43">
        <v>5</v>
      </c>
      <c r="C87" s="43">
        <v>5</v>
      </c>
      <c r="D87" s="43">
        <f>5-0.5</f>
        <v>4.5</v>
      </c>
      <c r="E87" s="43">
        <v>4</v>
      </c>
      <c r="F87" s="43">
        <v>3.25</v>
      </c>
      <c r="G87" s="43">
        <v>3</v>
      </c>
      <c r="H87" s="43">
        <v>3</v>
      </c>
      <c r="I87" s="43">
        <v>3</v>
      </c>
      <c r="J87" s="43">
        <v>3</v>
      </c>
      <c r="K87" s="43">
        <v>3</v>
      </c>
      <c r="L87" s="43">
        <v>3</v>
      </c>
      <c r="M87" s="9">
        <v>3</v>
      </c>
      <c r="N87" s="10">
        <f>SUM(B87:M87)/12</f>
        <v>3.5625</v>
      </c>
      <c r="O87" s="93"/>
    </row>
    <row r="88" spans="1:16" x14ac:dyDescent="0.25">
      <c r="A88" s="327" t="s">
        <v>17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11"/>
      <c r="N88" s="10">
        <f>SUM(B88:M88)/12</f>
        <v>0</v>
      </c>
      <c r="O88" s="93"/>
    </row>
    <row r="89" spans="1:16" x14ac:dyDescent="0.25">
      <c r="A89" s="305"/>
      <c r="B89" s="11"/>
      <c r="C89" s="11"/>
      <c r="D89" s="11"/>
      <c r="E89" s="11"/>
      <c r="F89" s="11"/>
      <c r="G89" s="11"/>
      <c r="H89" s="9"/>
      <c r="I89" s="11"/>
      <c r="J89" s="11"/>
      <c r="K89" s="11"/>
      <c r="L89" s="11"/>
      <c r="M89" s="11"/>
      <c r="N89" s="12"/>
      <c r="O89" s="94"/>
    </row>
    <row r="90" spans="1:16" x14ac:dyDescent="0.25">
      <c r="A90" s="303" t="s">
        <v>18</v>
      </c>
      <c r="B90" s="4">
        <f>B86+(B88*1.5)+(B87*0.8)</f>
        <v>62.5</v>
      </c>
      <c r="C90" s="4">
        <f>C86+(C88*1.5)+(C87*0.8)</f>
        <v>68</v>
      </c>
      <c r="D90" s="4">
        <f>D86+(D88*1.5)+(D87*0.8)</f>
        <v>69.849999999999994</v>
      </c>
      <c r="E90" s="4">
        <f>E86+(E88*1.5)+(E87*0.8)</f>
        <v>74.7</v>
      </c>
      <c r="F90" s="4">
        <f>F86+(F88*1.5)+(F87*0.8)</f>
        <v>76.349999999999994</v>
      </c>
      <c r="G90" s="4">
        <f t="shared" ref="G90:M90" si="5">G86+(G88*1.5)+(G87*0.8)</f>
        <v>76.900000000000006</v>
      </c>
      <c r="H90" s="4">
        <f t="shared" si="5"/>
        <v>77.400000000000006</v>
      </c>
      <c r="I90" s="4">
        <f t="shared" si="5"/>
        <v>78.400000000000006</v>
      </c>
      <c r="J90" s="4">
        <f t="shared" si="5"/>
        <v>78.400000000000006</v>
      </c>
      <c r="K90" s="4">
        <f t="shared" si="5"/>
        <v>79.400000000000006</v>
      </c>
      <c r="L90" s="4">
        <f t="shared" si="5"/>
        <v>80.400000000000006</v>
      </c>
      <c r="M90" s="4">
        <f t="shared" si="5"/>
        <v>80.400000000000006</v>
      </c>
      <c r="N90" s="10">
        <f>SUM(B90:M90)/12</f>
        <v>75.22499999999998</v>
      </c>
      <c r="O90" s="93"/>
    </row>
    <row r="91" spans="1:16" x14ac:dyDescent="0.25">
      <c r="A91" s="107" t="s">
        <v>19</v>
      </c>
      <c r="B91" s="104">
        <v>6</v>
      </c>
      <c r="C91" s="95">
        <v>5</v>
      </c>
      <c r="D91" s="95">
        <v>3</v>
      </c>
      <c r="E91" s="95">
        <v>5</v>
      </c>
      <c r="F91" s="95">
        <v>1</v>
      </c>
      <c r="G91" s="95">
        <v>1</v>
      </c>
      <c r="H91" s="95">
        <v>1</v>
      </c>
      <c r="I91" s="95">
        <v>1</v>
      </c>
      <c r="J91" s="95">
        <v>0</v>
      </c>
      <c r="K91" s="95">
        <v>1</v>
      </c>
      <c r="L91" s="95">
        <v>1</v>
      </c>
      <c r="M91" s="95">
        <v>0</v>
      </c>
      <c r="N91" s="109">
        <v>7</v>
      </c>
      <c r="O91" s="93"/>
    </row>
    <row r="92" spans="1:16" x14ac:dyDescent="0.25">
      <c r="A92" s="91"/>
      <c r="B92" s="104" t="s">
        <v>56</v>
      </c>
      <c r="C92" s="95"/>
      <c r="D92" s="112" t="s">
        <v>58</v>
      </c>
      <c r="E92" s="95" t="s">
        <v>59</v>
      </c>
      <c r="F92" s="95"/>
      <c r="G92" s="95"/>
      <c r="H92" s="95" t="s">
        <v>60</v>
      </c>
      <c r="I92" s="95" t="s">
        <v>60</v>
      </c>
      <c r="J92" s="95"/>
      <c r="K92" s="95" t="s">
        <v>60</v>
      </c>
      <c r="L92" s="95" t="s">
        <v>60</v>
      </c>
      <c r="M92" s="95"/>
      <c r="N92" s="90"/>
      <c r="O92" s="93"/>
    </row>
    <row r="93" spans="1:16" x14ac:dyDescent="0.25">
      <c r="A93" s="91"/>
      <c r="B93" s="104"/>
      <c r="C93" s="95"/>
      <c r="D93" s="95" t="s">
        <v>57</v>
      </c>
      <c r="E93" s="95"/>
      <c r="F93" s="95" t="s">
        <v>150</v>
      </c>
      <c r="G93" s="95"/>
      <c r="H93" s="95"/>
      <c r="I93" s="95"/>
      <c r="J93" s="95"/>
      <c r="K93" s="95"/>
      <c r="L93" s="95"/>
      <c r="M93" s="95"/>
      <c r="N93" s="90"/>
      <c r="O93" s="334"/>
      <c r="P93" s="27"/>
    </row>
    <row r="94" spans="1:16" x14ac:dyDescent="0.25">
      <c r="E94" s="317" t="s">
        <v>129</v>
      </c>
      <c r="F94" s="113"/>
      <c r="G94" s="113">
        <v>1</v>
      </c>
      <c r="H94" s="113"/>
      <c r="I94" s="113"/>
      <c r="J94" s="113">
        <v>1</v>
      </c>
      <c r="K94" s="113"/>
      <c r="L94" s="113"/>
      <c r="M94" s="113">
        <v>1</v>
      </c>
      <c r="N94" s="113"/>
    </row>
    <row r="95" spans="1:16" x14ac:dyDescent="0.25">
      <c r="E95" s="324"/>
      <c r="F95" s="27"/>
      <c r="G95" s="351" t="s">
        <v>151</v>
      </c>
      <c r="H95" s="27"/>
      <c r="I95" s="27"/>
      <c r="J95" s="27"/>
      <c r="K95" s="27"/>
      <c r="L95" s="27"/>
      <c r="M95" s="27"/>
      <c r="N95" s="27"/>
      <c r="O95" s="27"/>
    </row>
  </sheetData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I39" sqref="I39"/>
    </sheetView>
  </sheetViews>
  <sheetFormatPr defaultRowHeight="15" x14ac:dyDescent="0.25"/>
  <sheetData>
    <row r="1" spans="1:15" ht="15.75" x14ac:dyDescent="0.25">
      <c r="A1" s="335" t="s">
        <v>127</v>
      </c>
    </row>
    <row r="3" spans="1:15" x14ac:dyDescent="0.25">
      <c r="A3" s="39" t="s">
        <v>50</v>
      </c>
      <c r="B3" s="87"/>
      <c r="C3" s="87"/>
      <c r="D3" s="8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25">
      <c r="A4" s="303" t="s">
        <v>61</v>
      </c>
      <c r="B4" s="85" t="s">
        <v>2</v>
      </c>
      <c r="C4" s="85" t="s">
        <v>3</v>
      </c>
      <c r="D4" s="85" t="s">
        <v>4</v>
      </c>
      <c r="E4" s="85" t="s">
        <v>5</v>
      </c>
      <c r="F4" s="85" t="s">
        <v>6</v>
      </c>
      <c r="G4" s="85" t="s">
        <v>7</v>
      </c>
      <c r="H4" s="85" t="s">
        <v>8</v>
      </c>
      <c r="I4" s="85" t="s">
        <v>9</v>
      </c>
      <c r="J4" s="85" t="s">
        <v>10</v>
      </c>
      <c r="K4" s="85" t="s">
        <v>11</v>
      </c>
      <c r="L4" s="85" t="s">
        <v>12</v>
      </c>
      <c r="M4" s="85" t="s">
        <v>13</v>
      </c>
      <c r="N4" s="86" t="s">
        <v>14</v>
      </c>
      <c r="O4" s="66"/>
    </row>
    <row r="5" spans="1:15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66"/>
    </row>
    <row r="6" spans="1:15" x14ac:dyDescent="0.25">
      <c r="A6" s="86" t="s">
        <v>15</v>
      </c>
      <c r="B6" s="32">
        <f>52+2-0.5-0.75</f>
        <v>52.75</v>
      </c>
      <c r="C6" s="58">
        <f>52+1+1</f>
        <v>54</v>
      </c>
      <c r="D6" s="58">
        <v>57</v>
      </c>
      <c r="E6" s="58">
        <v>57</v>
      </c>
      <c r="F6" s="58">
        <f>57+5+0.5</f>
        <v>62.5</v>
      </c>
      <c r="G6" s="386">
        <f>63+3</f>
        <v>66</v>
      </c>
      <c r="H6" s="58">
        <v>67</v>
      </c>
      <c r="I6" s="58">
        <f>67+1+0.75</f>
        <v>68.75</v>
      </c>
      <c r="J6" s="58">
        <v>69</v>
      </c>
      <c r="K6" s="58">
        <f>69+2</f>
        <v>71</v>
      </c>
      <c r="L6" s="41">
        <v>72</v>
      </c>
      <c r="M6" s="4">
        <v>72</v>
      </c>
      <c r="N6" s="8">
        <f>SUM(B6:M6)/12</f>
        <v>64.083333333333329</v>
      </c>
      <c r="O6" s="66"/>
    </row>
    <row r="7" spans="1:15" x14ac:dyDescent="0.25">
      <c r="A7" s="86" t="s">
        <v>16</v>
      </c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43">
        <v>1</v>
      </c>
      <c r="M7" s="9">
        <v>1</v>
      </c>
      <c r="N7" s="10">
        <f>SUM(B7:M7)/12</f>
        <v>1</v>
      </c>
      <c r="O7" s="66"/>
    </row>
    <row r="8" spans="1:15" x14ac:dyDescent="0.25">
      <c r="A8" s="86" t="s">
        <v>17</v>
      </c>
      <c r="B8" s="34">
        <v>0.75</v>
      </c>
      <c r="C8" s="34"/>
      <c r="D8" s="34"/>
      <c r="E8" s="34"/>
      <c r="F8" s="34"/>
      <c r="G8" s="34"/>
      <c r="H8" s="34"/>
      <c r="I8" s="34"/>
      <c r="J8" s="34"/>
      <c r="K8" s="34"/>
      <c r="L8" s="44"/>
      <c r="M8" s="11"/>
      <c r="N8" s="10">
        <f>SUM(B8:M8)/12</f>
        <v>6.25E-2</v>
      </c>
      <c r="O8" s="66"/>
    </row>
    <row r="9" spans="1:15" x14ac:dyDescent="0.25">
      <c r="A9" s="86"/>
      <c r="B9" s="11"/>
      <c r="C9" s="11"/>
      <c r="D9" s="11"/>
      <c r="E9" s="11"/>
      <c r="F9" s="11"/>
      <c r="G9" s="11"/>
      <c r="H9" s="9"/>
      <c r="I9" s="11"/>
      <c r="J9" s="11"/>
      <c r="K9" s="11"/>
      <c r="L9" s="11"/>
      <c r="M9" s="11"/>
      <c r="N9" s="12"/>
      <c r="O9" s="67"/>
    </row>
    <row r="10" spans="1:15" x14ac:dyDescent="0.25">
      <c r="A10" s="84" t="s">
        <v>18</v>
      </c>
      <c r="B10" s="4">
        <f>B6+(B8*1.5)+(B7*0.8)</f>
        <v>54.674999999999997</v>
      </c>
      <c r="C10" s="4">
        <f>C6+(C8*1.5)+(C7*0.8)</f>
        <v>54.8</v>
      </c>
      <c r="D10" s="4">
        <f>D6+(D8*1.5)+(D7*0.8)</f>
        <v>57.8</v>
      </c>
      <c r="E10" s="4">
        <f>E6+(E8*1.5)+(E7*0.8)</f>
        <v>57.8</v>
      </c>
      <c r="F10" s="4">
        <f>F6+(F8*1.5)+(F7*0.8)</f>
        <v>63.3</v>
      </c>
      <c r="G10" s="4">
        <f t="shared" ref="G10:M10" si="0">G6+(G8*1.5)+(G7*0.8)</f>
        <v>66.8</v>
      </c>
      <c r="H10" s="4">
        <f t="shared" si="0"/>
        <v>67.8</v>
      </c>
      <c r="I10" s="4">
        <f t="shared" si="0"/>
        <v>69.55</v>
      </c>
      <c r="J10" s="4">
        <f t="shared" si="0"/>
        <v>69.8</v>
      </c>
      <c r="K10" s="4">
        <f t="shared" si="0"/>
        <v>71.8</v>
      </c>
      <c r="L10" s="4">
        <f t="shared" si="0"/>
        <v>72.8</v>
      </c>
      <c r="M10" s="4">
        <f t="shared" si="0"/>
        <v>72.8</v>
      </c>
      <c r="N10" s="10">
        <f>SUM(B10:M10)/12</f>
        <v>64.977083333333326</v>
      </c>
      <c r="O10" s="66"/>
    </row>
    <row r="11" spans="1:15" x14ac:dyDescent="0.25">
      <c r="A11" s="81" t="s">
        <v>19</v>
      </c>
      <c r="B11" s="104">
        <v>3</v>
      </c>
      <c r="C11" s="95">
        <v>1</v>
      </c>
      <c r="D11" s="95">
        <v>3</v>
      </c>
      <c r="E11" s="95">
        <v>0</v>
      </c>
      <c r="F11" s="95">
        <v>6</v>
      </c>
      <c r="G11" s="95">
        <v>3</v>
      </c>
      <c r="H11" s="95">
        <v>1</v>
      </c>
      <c r="I11" s="95">
        <v>2</v>
      </c>
      <c r="J11" s="95">
        <v>0</v>
      </c>
      <c r="K11" s="95">
        <v>2</v>
      </c>
      <c r="L11" s="95">
        <v>1</v>
      </c>
      <c r="M11" s="95">
        <v>0</v>
      </c>
      <c r="N11" s="82">
        <f>SUM(B11:M11)</f>
        <v>22</v>
      </c>
      <c r="O11" s="66"/>
    </row>
    <row r="12" spans="1:15" x14ac:dyDescent="0.25">
      <c r="B12" s="112" t="s">
        <v>74</v>
      </c>
      <c r="C12" s="112"/>
      <c r="D12" s="112"/>
      <c r="E12" s="112"/>
      <c r="F12" s="112" t="s">
        <v>193</v>
      </c>
      <c r="G12" s="112"/>
      <c r="H12" s="112" t="s">
        <v>66</v>
      </c>
      <c r="I12" s="112" t="s">
        <v>297</v>
      </c>
      <c r="J12" s="112"/>
      <c r="K12" s="112"/>
      <c r="L12" s="112" t="s">
        <v>60</v>
      </c>
      <c r="M12" s="112"/>
    </row>
    <row r="13" spans="1:15" x14ac:dyDescent="0.25">
      <c r="B13" s="112" t="s">
        <v>75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5" x14ac:dyDescent="0.25"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5" x14ac:dyDescent="0.25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5" x14ac:dyDescent="0.25">
      <c r="A16" s="131" t="s">
        <v>0</v>
      </c>
      <c r="B16" s="130"/>
      <c r="C16" s="130"/>
      <c r="D16" s="130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9" x14ac:dyDescent="0.25">
      <c r="A17" s="118" t="s">
        <v>61</v>
      </c>
      <c r="B17" s="119" t="s">
        <v>2</v>
      </c>
      <c r="C17" s="119" t="s">
        <v>3</v>
      </c>
      <c r="D17" s="119" t="s">
        <v>4</v>
      </c>
      <c r="E17" s="119" t="s">
        <v>5</v>
      </c>
      <c r="F17" s="119" t="s">
        <v>6</v>
      </c>
      <c r="G17" s="119" t="s">
        <v>7</v>
      </c>
      <c r="H17" s="119" t="s">
        <v>8</v>
      </c>
      <c r="I17" s="119" t="s">
        <v>9</v>
      </c>
      <c r="J17" s="119" t="s">
        <v>10</v>
      </c>
      <c r="K17" s="119" t="s">
        <v>11</v>
      </c>
      <c r="L17" s="119" t="s">
        <v>12</v>
      </c>
      <c r="M17" s="119" t="s">
        <v>13</v>
      </c>
      <c r="N17" s="120" t="s">
        <v>14</v>
      </c>
      <c r="O17" s="114"/>
    </row>
    <row r="18" spans="1:19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4"/>
    </row>
    <row r="19" spans="1:19" x14ac:dyDescent="0.25">
      <c r="A19" s="120" t="s">
        <v>15</v>
      </c>
      <c r="B19" s="126">
        <v>54</v>
      </c>
      <c r="C19" s="119">
        <v>56</v>
      </c>
      <c r="D19" s="119">
        <v>59</v>
      </c>
      <c r="E19" s="119">
        <v>59</v>
      </c>
      <c r="F19" s="119">
        <v>63</v>
      </c>
      <c r="G19" s="127">
        <v>65</v>
      </c>
      <c r="H19" s="119">
        <v>67</v>
      </c>
      <c r="I19" s="119">
        <v>67</v>
      </c>
      <c r="J19" s="119">
        <v>67</v>
      </c>
      <c r="K19" s="119">
        <v>67</v>
      </c>
      <c r="L19" s="119">
        <v>68</v>
      </c>
      <c r="M19" s="119">
        <v>68</v>
      </c>
      <c r="N19" s="121">
        <v>63.333333333333336</v>
      </c>
      <c r="O19" s="114"/>
    </row>
    <row r="20" spans="1:19" x14ac:dyDescent="0.25">
      <c r="A20" s="120" t="s">
        <v>16</v>
      </c>
      <c r="B20" s="122">
        <v>1</v>
      </c>
      <c r="C20" s="122">
        <v>1</v>
      </c>
      <c r="D20" s="122">
        <v>1</v>
      </c>
      <c r="E20" s="122">
        <v>1</v>
      </c>
      <c r="F20" s="122">
        <v>1</v>
      </c>
      <c r="G20" s="122">
        <v>1</v>
      </c>
      <c r="H20" s="122">
        <v>1</v>
      </c>
      <c r="I20" s="122">
        <v>1</v>
      </c>
      <c r="J20" s="122">
        <v>1</v>
      </c>
      <c r="K20" s="122">
        <v>1</v>
      </c>
      <c r="L20" s="122">
        <v>1</v>
      </c>
      <c r="M20" s="122">
        <v>1</v>
      </c>
      <c r="N20" s="123">
        <v>1</v>
      </c>
      <c r="O20" s="114"/>
    </row>
    <row r="21" spans="1:19" x14ac:dyDescent="0.25">
      <c r="A21" s="120" t="s">
        <v>17</v>
      </c>
      <c r="B21" s="124">
        <v>0.75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3">
        <v>6.25E-2</v>
      </c>
      <c r="O21" s="114"/>
    </row>
    <row r="22" spans="1:19" x14ac:dyDescent="0.25">
      <c r="A22" s="120"/>
      <c r="B22" s="124"/>
      <c r="C22" s="124"/>
      <c r="D22" s="124"/>
      <c r="E22" s="124"/>
      <c r="F22" s="124"/>
      <c r="G22" s="124"/>
      <c r="H22" s="122"/>
      <c r="I22" s="124"/>
      <c r="J22" s="124"/>
      <c r="K22" s="124"/>
      <c r="L22" s="124"/>
      <c r="M22" s="124"/>
      <c r="N22" s="125"/>
      <c r="O22" s="115"/>
    </row>
    <row r="23" spans="1:19" x14ac:dyDescent="0.25">
      <c r="A23" s="118" t="s">
        <v>18</v>
      </c>
      <c r="B23" s="119">
        <v>55.924999999999997</v>
      </c>
      <c r="C23" s="119">
        <v>56.8</v>
      </c>
      <c r="D23" s="119">
        <v>59.8</v>
      </c>
      <c r="E23" s="119">
        <v>59.8</v>
      </c>
      <c r="F23" s="119">
        <v>63.8</v>
      </c>
      <c r="G23" s="119">
        <v>65.8</v>
      </c>
      <c r="H23" s="119">
        <v>67.8</v>
      </c>
      <c r="I23" s="119">
        <v>67.8</v>
      </c>
      <c r="J23" s="119">
        <v>67.8</v>
      </c>
      <c r="K23" s="119">
        <v>67.8</v>
      </c>
      <c r="L23" s="119">
        <v>68.8</v>
      </c>
      <c r="M23" s="119">
        <v>68.8</v>
      </c>
      <c r="N23" s="123">
        <v>64.227083333333326</v>
      </c>
      <c r="O23" s="114"/>
      <c r="P23" s="114"/>
      <c r="Q23" s="114"/>
      <c r="R23" s="114"/>
      <c r="S23" s="114"/>
    </row>
    <row r="24" spans="1:19" x14ac:dyDescent="0.25">
      <c r="A24" s="128" t="s">
        <v>19</v>
      </c>
      <c r="B24" s="117">
        <v>4</v>
      </c>
      <c r="C24" s="116">
        <v>1</v>
      </c>
      <c r="D24" s="116">
        <v>3</v>
      </c>
      <c r="E24" s="116">
        <v>0</v>
      </c>
      <c r="F24" s="116">
        <v>4</v>
      </c>
      <c r="G24" s="116">
        <v>2</v>
      </c>
      <c r="H24" s="116">
        <v>2</v>
      </c>
      <c r="I24" s="116">
        <v>0</v>
      </c>
      <c r="J24" s="116">
        <v>0</v>
      </c>
      <c r="K24" s="116">
        <v>0</v>
      </c>
      <c r="L24" s="116">
        <v>1</v>
      </c>
      <c r="M24" s="116">
        <v>0</v>
      </c>
      <c r="N24" s="129">
        <v>17</v>
      </c>
      <c r="O24" s="114"/>
      <c r="P24" s="114"/>
      <c r="Q24" s="114"/>
      <c r="R24" s="114"/>
      <c r="S24" s="114"/>
    </row>
    <row r="25" spans="1:19" x14ac:dyDescent="0.25">
      <c r="A25" s="114"/>
      <c r="B25" s="117" t="s">
        <v>63</v>
      </c>
      <c r="C25" s="114"/>
      <c r="D25" s="114"/>
      <c r="E25" s="114"/>
      <c r="F25" s="114"/>
      <c r="G25" s="114"/>
      <c r="H25" s="114"/>
      <c r="I25" s="114"/>
      <c r="J25" s="114"/>
      <c r="K25" s="117"/>
      <c r="L25" s="114"/>
      <c r="M25" s="117"/>
      <c r="N25" s="114"/>
      <c r="O25" s="114"/>
      <c r="P25" s="114"/>
      <c r="Q25" s="114"/>
      <c r="R25" s="114"/>
      <c r="S25" s="114"/>
    </row>
    <row r="26" spans="1:19" x14ac:dyDescent="0.25">
      <c r="A26" s="114"/>
      <c r="B26" s="117" t="s">
        <v>64</v>
      </c>
      <c r="C26" s="114"/>
      <c r="D26" s="114"/>
      <c r="E26" s="114"/>
      <c r="F26" s="114"/>
      <c r="G26" s="114"/>
      <c r="H26" s="114"/>
      <c r="I26" s="114"/>
      <c r="J26" s="114"/>
      <c r="K26" s="117"/>
      <c r="L26" s="114"/>
      <c r="M26" s="117"/>
      <c r="N26" s="114"/>
      <c r="O26" s="114"/>
      <c r="P26" s="114"/>
      <c r="Q26" s="114"/>
      <c r="R26" s="114"/>
      <c r="S26" s="114"/>
    </row>
    <row r="27" spans="1:19" x14ac:dyDescent="0.25">
      <c r="A27" s="298"/>
      <c r="B27" s="302"/>
      <c r="C27" s="298"/>
      <c r="D27" s="298"/>
      <c r="E27" s="298"/>
      <c r="F27" s="298"/>
      <c r="G27" s="298"/>
      <c r="H27" s="298"/>
      <c r="I27" s="298"/>
      <c r="J27" s="298"/>
      <c r="K27" s="302"/>
      <c r="L27" s="298"/>
      <c r="M27" s="302"/>
      <c r="N27" s="298"/>
      <c r="O27" s="298"/>
      <c r="P27" s="298"/>
      <c r="Q27" s="298"/>
      <c r="R27" s="298"/>
      <c r="S27" s="298"/>
    </row>
    <row r="28" spans="1:19" x14ac:dyDescent="0.25">
      <c r="A28" s="400" t="s">
        <v>292</v>
      </c>
      <c r="B28" s="400"/>
      <c r="C28" s="400"/>
      <c r="D28" s="400"/>
    </row>
    <row r="29" spans="1:19" s="2" customFormat="1" x14ac:dyDescent="0.25">
      <c r="A29" s="3"/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5" t="s">
        <v>14</v>
      </c>
    </row>
    <row r="30" spans="1:19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9" s="2" customFormat="1" x14ac:dyDescent="0.25">
      <c r="A31" s="5" t="s">
        <v>15</v>
      </c>
      <c r="B31" s="6">
        <f>72-30+2</f>
        <v>44</v>
      </c>
      <c r="C31" s="4">
        <v>45</v>
      </c>
      <c r="D31" s="4">
        <v>46</v>
      </c>
      <c r="E31" s="4">
        <v>46</v>
      </c>
      <c r="F31" s="4">
        <v>48</v>
      </c>
      <c r="G31" s="7">
        <v>50</v>
      </c>
      <c r="H31" s="4">
        <v>51</v>
      </c>
      <c r="I31" s="4">
        <v>52</v>
      </c>
      <c r="J31" s="4">
        <v>53</v>
      </c>
      <c r="K31" s="4">
        <v>53</v>
      </c>
      <c r="L31" s="4">
        <v>54</v>
      </c>
      <c r="M31" s="4">
        <v>56</v>
      </c>
      <c r="N31" s="8">
        <f>SUM(B31:M31)/12</f>
        <v>49.833333333333336</v>
      </c>
    </row>
    <row r="32" spans="1:19" s="2" customFormat="1" x14ac:dyDescent="0.25">
      <c r="A32" s="5" t="s">
        <v>16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10">
        <f>SUM(B32:M32)/12</f>
        <v>1</v>
      </c>
    </row>
    <row r="33" spans="1:15" s="2" customFormat="1" x14ac:dyDescent="0.25">
      <c r="A33" s="5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f>SUM(B33:M33)/12</f>
        <v>0</v>
      </c>
    </row>
    <row r="34" spans="1:15" s="2" customFormat="1" x14ac:dyDescent="0.25">
      <c r="A34" s="5"/>
      <c r="B34" s="11"/>
      <c r="C34" s="11"/>
      <c r="D34" s="11"/>
      <c r="E34" s="11"/>
      <c r="F34" s="11"/>
      <c r="G34" s="11"/>
      <c r="H34" s="9"/>
      <c r="I34" s="11"/>
      <c r="J34" s="11"/>
      <c r="K34" s="11"/>
      <c r="L34" s="11"/>
      <c r="M34" s="11"/>
      <c r="N34" s="12"/>
      <c r="O34" s="13"/>
    </row>
    <row r="35" spans="1:15" s="2" customFormat="1" x14ac:dyDescent="0.25">
      <c r="A35" s="3" t="s">
        <v>62</v>
      </c>
      <c r="B35" s="4">
        <f>B31+(B33*1.5)+(B32*0.8)</f>
        <v>44.8</v>
      </c>
      <c r="C35" s="4">
        <f>C31+(C33*1.5)+(C32*0.8)</f>
        <v>45.8</v>
      </c>
      <c r="D35" s="4">
        <f>D31+(D33*1.5)+(D32*0.8)</f>
        <v>46.8</v>
      </c>
      <c r="E35" s="4">
        <f>E31+(E33*1.5)+(E32*0.8)</f>
        <v>46.8</v>
      </c>
      <c r="F35" s="4">
        <f>F31+(F33*1.5)+(F32*0.8)</f>
        <v>48.8</v>
      </c>
      <c r="G35" s="4">
        <f t="shared" ref="G35:M35" si="1">G31+(G33*1.5)+(G32*0.8)</f>
        <v>50.8</v>
      </c>
      <c r="H35" s="4">
        <f t="shared" si="1"/>
        <v>51.8</v>
      </c>
      <c r="I35" s="4">
        <f t="shared" si="1"/>
        <v>52.8</v>
      </c>
      <c r="J35" s="4">
        <f t="shared" si="1"/>
        <v>53.8</v>
      </c>
      <c r="K35" s="4">
        <f t="shared" si="1"/>
        <v>53.8</v>
      </c>
      <c r="L35" s="4">
        <f t="shared" si="1"/>
        <v>54.8</v>
      </c>
      <c r="M35" s="4">
        <f t="shared" si="1"/>
        <v>56.8</v>
      </c>
      <c r="N35" s="10">
        <f>SUM(B35:M35)/12</f>
        <v>50.633333333333333</v>
      </c>
    </row>
    <row r="36" spans="1:15" s="2" customFormat="1" x14ac:dyDescent="0.25">
      <c r="A36" s="14" t="s">
        <v>19</v>
      </c>
      <c r="B36" s="15">
        <v>2</v>
      </c>
      <c r="C36" s="16">
        <v>1</v>
      </c>
      <c r="D36" s="16">
        <v>1</v>
      </c>
      <c r="E36" s="16">
        <v>0</v>
      </c>
      <c r="F36" s="16">
        <v>2</v>
      </c>
      <c r="G36" s="16">
        <v>2</v>
      </c>
      <c r="H36" s="16">
        <v>1</v>
      </c>
      <c r="I36" s="16">
        <v>1</v>
      </c>
      <c r="J36" s="16">
        <v>1</v>
      </c>
      <c r="K36" s="16">
        <v>0</v>
      </c>
      <c r="L36" s="16">
        <v>1</v>
      </c>
      <c r="M36" s="16">
        <v>2</v>
      </c>
      <c r="N36" s="17">
        <f>SUM(B36:M36)</f>
        <v>14</v>
      </c>
      <c r="O36" s="16"/>
    </row>
    <row r="37" spans="1:15" x14ac:dyDescent="0.25">
      <c r="B37" s="47" t="s">
        <v>194</v>
      </c>
    </row>
    <row r="41" spans="1:15" x14ac:dyDescent="0.25">
      <c r="A41" s="358" t="s">
        <v>119</v>
      </c>
      <c r="B41" s="358"/>
      <c r="C41" s="358"/>
      <c r="D41" s="358"/>
    </row>
    <row r="42" spans="1:15" x14ac:dyDescent="0.25">
      <c r="A42" s="303" t="s">
        <v>61</v>
      </c>
      <c r="B42" s="304" t="s">
        <v>2</v>
      </c>
      <c r="C42" s="304" t="s">
        <v>3</v>
      </c>
      <c r="D42" s="304" t="s">
        <v>4</v>
      </c>
      <c r="E42" s="304" t="s">
        <v>5</v>
      </c>
      <c r="F42" s="304" t="s">
        <v>6</v>
      </c>
      <c r="G42" s="304" t="s">
        <v>7</v>
      </c>
      <c r="H42" s="304" t="s">
        <v>8</v>
      </c>
      <c r="I42" s="304" t="s">
        <v>9</v>
      </c>
      <c r="J42" s="304" t="s">
        <v>10</v>
      </c>
      <c r="K42" s="304" t="s">
        <v>11</v>
      </c>
      <c r="L42" s="304" t="s">
        <v>12</v>
      </c>
      <c r="M42" s="304" t="s">
        <v>13</v>
      </c>
      <c r="N42" s="305" t="s">
        <v>14</v>
      </c>
    </row>
    <row r="43" spans="1:15" x14ac:dyDescent="0.2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</row>
    <row r="44" spans="1:15" x14ac:dyDescent="0.25">
      <c r="A44" s="305" t="s">
        <v>15</v>
      </c>
      <c r="B44" s="322">
        <f>65-29+3</f>
        <v>39</v>
      </c>
      <c r="C44" s="318">
        <v>40</v>
      </c>
      <c r="D44" s="318">
        <v>41</v>
      </c>
      <c r="E44" s="318">
        <v>41</v>
      </c>
      <c r="F44" s="318">
        <v>43</v>
      </c>
      <c r="G44" s="319">
        <v>45</v>
      </c>
      <c r="H44" s="318">
        <v>46</v>
      </c>
      <c r="I44" s="318">
        <v>47</v>
      </c>
      <c r="J44" s="318">
        <v>48</v>
      </c>
      <c r="K44" s="318">
        <v>48</v>
      </c>
      <c r="L44" s="318">
        <v>49</v>
      </c>
      <c r="M44" s="318">
        <v>51</v>
      </c>
      <c r="N44" s="8">
        <f>SUM(B44:M44)/12</f>
        <v>44.833333333333336</v>
      </c>
    </row>
    <row r="45" spans="1:15" x14ac:dyDescent="0.25">
      <c r="A45" s="305" t="s">
        <v>16</v>
      </c>
      <c r="B45" s="44">
        <v>1</v>
      </c>
      <c r="C45" s="44">
        <v>1</v>
      </c>
      <c r="D45" s="44">
        <v>1</v>
      </c>
      <c r="E45" s="44">
        <v>1</v>
      </c>
      <c r="F45" s="44">
        <v>1</v>
      </c>
      <c r="G45" s="44">
        <v>1</v>
      </c>
      <c r="H45" s="44">
        <v>1</v>
      </c>
      <c r="I45" s="44">
        <v>1</v>
      </c>
      <c r="J45" s="44">
        <v>1</v>
      </c>
      <c r="K45" s="44">
        <v>1</v>
      </c>
      <c r="L45" s="44">
        <v>1</v>
      </c>
      <c r="M45" s="44">
        <v>1</v>
      </c>
      <c r="N45" s="10">
        <f>SUM(B45:M45)/12</f>
        <v>1</v>
      </c>
    </row>
    <row r="46" spans="1:15" x14ac:dyDescent="0.25">
      <c r="A46" s="305" t="s">
        <v>17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10">
        <f>SUM(B46:M46)/12</f>
        <v>0</v>
      </c>
    </row>
    <row r="47" spans="1:15" x14ac:dyDescent="0.25">
      <c r="A47" s="305"/>
      <c r="B47" s="11"/>
      <c r="C47" s="11"/>
      <c r="D47" s="11"/>
      <c r="E47" s="11"/>
      <c r="F47" s="11"/>
      <c r="G47" s="11"/>
      <c r="H47" s="9"/>
      <c r="I47" s="11"/>
      <c r="J47" s="11"/>
      <c r="K47" s="11"/>
      <c r="L47" s="11"/>
      <c r="M47" s="11"/>
      <c r="N47" s="12"/>
    </row>
    <row r="48" spans="1:15" x14ac:dyDescent="0.25">
      <c r="A48" s="303" t="s">
        <v>62</v>
      </c>
      <c r="B48" s="4">
        <f>B44+(B46*1.5)+(B45*0.8)</f>
        <v>39.799999999999997</v>
      </c>
      <c r="C48" s="4">
        <f>C44+(C46*1.5)+(C45*0.8)</f>
        <v>40.799999999999997</v>
      </c>
      <c r="D48" s="4">
        <f>D44+(D46*1.5)+(D45*0.8)</f>
        <v>41.8</v>
      </c>
      <c r="E48" s="4">
        <f>E44+(E46*1.5)+(E45*0.8)</f>
        <v>41.8</v>
      </c>
      <c r="F48" s="4">
        <f>F44+(F46*1.5)+(F45*0.8)</f>
        <v>43.8</v>
      </c>
      <c r="G48" s="4">
        <f t="shared" ref="G48:M48" si="2">G44+(G46*1.5)+(G45*0.8)</f>
        <v>45.8</v>
      </c>
      <c r="H48" s="4">
        <f t="shared" si="2"/>
        <v>46.8</v>
      </c>
      <c r="I48" s="4">
        <f t="shared" si="2"/>
        <v>47.8</v>
      </c>
      <c r="J48" s="4">
        <f t="shared" si="2"/>
        <v>48.8</v>
      </c>
      <c r="K48" s="4">
        <f t="shared" si="2"/>
        <v>48.8</v>
      </c>
      <c r="L48" s="4">
        <f t="shared" si="2"/>
        <v>49.8</v>
      </c>
      <c r="M48" s="4">
        <f t="shared" si="2"/>
        <v>51.8</v>
      </c>
      <c r="N48" s="10">
        <f>SUM(B48:M48)/12</f>
        <v>45.633333333333333</v>
      </c>
    </row>
    <row r="49" spans="1:15" x14ac:dyDescent="0.25">
      <c r="A49" s="107" t="s">
        <v>19</v>
      </c>
      <c r="B49" s="104">
        <v>3</v>
      </c>
      <c r="C49" s="95">
        <v>1</v>
      </c>
      <c r="D49" s="95">
        <v>1</v>
      </c>
      <c r="E49" s="95">
        <v>0</v>
      </c>
      <c r="F49" s="95">
        <v>2</v>
      </c>
      <c r="G49" s="95">
        <v>2</v>
      </c>
      <c r="H49" s="95">
        <v>1</v>
      </c>
      <c r="I49" s="95">
        <v>1</v>
      </c>
      <c r="J49" s="95">
        <v>1</v>
      </c>
      <c r="K49" s="95">
        <v>0</v>
      </c>
      <c r="L49" s="95">
        <v>1</v>
      </c>
      <c r="M49" s="95">
        <v>2</v>
      </c>
      <c r="N49" s="109">
        <f>SUM(B49:M49)</f>
        <v>15</v>
      </c>
    </row>
    <row r="50" spans="1:15" x14ac:dyDescent="0.25">
      <c r="B50" t="s">
        <v>121</v>
      </c>
    </row>
    <row r="52" spans="1:15" x14ac:dyDescent="0.25">
      <c r="A52" s="358" t="s">
        <v>160</v>
      </c>
      <c r="B52" s="358"/>
      <c r="C52" s="358"/>
      <c r="D52" s="358"/>
    </row>
    <row r="53" spans="1:15" s="2" customFormat="1" x14ac:dyDescent="0.25">
      <c r="A53" s="3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5" t="s">
        <v>14</v>
      </c>
    </row>
    <row r="54" spans="1:15" s="2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5" s="2" customFormat="1" x14ac:dyDescent="0.25">
      <c r="A55" s="5" t="s">
        <v>15</v>
      </c>
      <c r="B55" s="6">
        <f>68-30+2</f>
        <v>40</v>
      </c>
      <c r="C55" s="4">
        <v>41</v>
      </c>
      <c r="D55" s="4">
        <v>42</v>
      </c>
      <c r="E55" s="4">
        <v>42</v>
      </c>
      <c r="F55" s="4">
        <v>44</v>
      </c>
      <c r="G55" s="7">
        <v>46</v>
      </c>
      <c r="H55" s="4">
        <v>47</v>
      </c>
      <c r="I55" s="4">
        <v>48</v>
      </c>
      <c r="J55" s="4">
        <v>49</v>
      </c>
      <c r="K55" s="4">
        <v>49</v>
      </c>
      <c r="L55" s="4">
        <v>50</v>
      </c>
      <c r="M55" s="4">
        <v>52</v>
      </c>
      <c r="N55" s="8">
        <f>SUM(B55:M55)/12</f>
        <v>45.833333333333336</v>
      </c>
    </row>
    <row r="56" spans="1:15" s="2" customFormat="1" x14ac:dyDescent="0.25">
      <c r="A56" s="5" t="s">
        <v>16</v>
      </c>
      <c r="B56" s="9">
        <v>1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10">
        <f>SUM(B56:M56)/12</f>
        <v>1</v>
      </c>
    </row>
    <row r="57" spans="1:15" s="2" customFormat="1" x14ac:dyDescent="0.25">
      <c r="A57" s="5" t="s">
        <v>17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0">
        <f>SUM(B57:M57)/12</f>
        <v>0</v>
      </c>
    </row>
    <row r="58" spans="1:15" s="2" customFormat="1" x14ac:dyDescent="0.25">
      <c r="A58" s="5"/>
      <c r="B58" s="11"/>
      <c r="C58" s="11"/>
      <c r="D58" s="11"/>
      <c r="E58" s="11"/>
      <c r="F58" s="11"/>
      <c r="G58" s="11"/>
      <c r="H58" s="9"/>
      <c r="I58" s="11"/>
      <c r="J58" s="11"/>
      <c r="K58" s="11"/>
      <c r="L58" s="11"/>
      <c r="M58" s="11"/>
      <c r="N58" s="12"/>
      <c r="O58" s="13"/>
    </row>
    <row r="59" spans="1:15" s="2" customFormat="1" x14ac:dyDescent="0.25">
      <c r="A59" s="3" t="s">
        <v>62</v>
      </c>
      <c r="B59" s="4">
        <f>B55+(B57*1.5)+(B56*0.8)</f>
        <v>40.799999999999997</v>
      </c>
      <c r="C59" s="4">
        <f>C55+(C57*1.5)+(C56*0.8)</f>
        <v>41.8</v>
      </c>
      <c r="D59" s="4">
        <f>D55+(D57*1.5)+(D56*0.8)</f>
        <v>42.8</v>
      </c>
      <c r="E59" s="4">
        <f>E55+(E57*1.5)+(E56*0.8)</f>
        <v>42.8</v>
      </c>
      <c r="F59" s="4">
        <f>F55+(F57*1.5)+(F56*0.8)</f>
        <v>44.8</v>
      </c>
      <c r="G59" s="4">
        <f t="shared" ref="G59:M59" si="3">G55+(G57*1.5)+(G56*0.8)</f>
        <v>46.8</v>
      </c>
      <c r="H59" s="4">
        <f t="shared" si="3"/>
        <v>47.8</v>
      </c>
      <c r="I59" s="4">
        <f t="shared" si="3"/>
        <v>48.8</v>
      </c>
      <c r="J59" s="4">
        <f t="shared" si="3"/>
        <v>49.8</v>
      </c>
      <c r="K59" s="4">
        <f t="shared" si="3"/>
        <v>49.8</v>
      </c>
      <c r="L59" s="4">
        <f t="shared" si="3"/>
        <v>50.8</v>
      </c>
      <c r="M59" s="4">
        <f t="shared" si="3"/>
        <v>52.8</v>
      </c>
      <c r="N59" s="10">
        <f>SUM(B59:M59)/12</f>
        <v>46.633333333333333</v>
      </c>
    </row>
    <row r="60" spans="1:15" s="2" customFormat="1" x14ac:dyDescent="0.25">
      <c r="A60" s="14" t="s">
        <v>19</v>
      </c>
      <c r="B60" s="15">
        <v>2</v>
      </c>
      <c r="C60" s="16">
        <v>1</v>
      </c>
      <c r="D60" s="16">
        <v>1</v>
      </c>
      <c r="E60" s="16"/>
      <c r="F60" s="16">
        <v>2</v>
      </c>
      <c r="G60" s="16">
        <v>2</v>
      </c>
      <c r="H60" s="16">
        <v>1</v>
      </c>
      <c r="I60" s="16">
        <v>1</v>
      </c>
      <c r="J60" s="16">
        <v>1</v>
      </c>
      <c r="K60" s="16"/>
      <c r="L60" s="16">
        <v>1</v>
      </c>
      <c r="M60" s="16">
        <v>2</v>
      </c>
      <c r="N60" s="17">
        <f>SUM(B60:M60)</f>
        <v>14</v>
      </c>
      <c r="O60" s="16"/>
    </row>
    <row r="61" spans="1:15" x14ac:dyDescent="0.25">
      <c r="B61" s="47" t="s">
        <v>194</v>
      </c>
    </row>
    <row r="63" spans="1:15" x14ac:dyDescent="0.25">
      <c r="B63" t="s">
        <v>256</v>
      </c>
    </row>
  </sheetData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N11" sqref="N11"/>
    </sheetView>
  </sheetViews>
  <sheetFormatPr defaultRowHeight="15" x14ac:dyDescent="0.25"/>
  <sheetData>
    <row r="1" spans="1:15" ht="15.75" x14ac:dyDescent="0.25">
      <c r="A1" s="335" t="s">
        <v>128</v>
      </c>
    </row>
    <row r="3" spans="1:15" x14ac:dyDescent="0.25">
      <c r="A3" s="39" t="s">
        <v>50</v>
      </c>
      <c r="B3" s="87"/>
      <c r="C3" s="87"/>
      <c r="D3" s="8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25">
      <c r="A4" s="84" t="s">
        <v>67</v>
      </c>
      <c r="B4" s="85" t="s">
        <v>2</v>
      </c>
      <c r="C4" s="85" t="s">
        <v>3</v>
      </c>
      <c r="D4" s="85" t="s">
        <v>4</v>
      </c>
      <c r="E4" s="85" t="s">
        <v>5</v>
      </c>
      <c r="F4" s="85" t="s">
        <v>6</v>
      </c>
      <c r="G4" s="85" t="s">
        <v>7</v>
      </c>
      <c r="H4" s="85" t="s">
        <v>8</v>
      </c>
      <c r="I4" s="85" t="s">
        <v>9</v>
      </c>
      <c r="J4" s="85" t="s">
        <v>10</v>
      </c>
      <c r="K4" s="85" t="s">
        <v>11</v>
      </c>
      <c r="L4" s="85" t="s">
        <v>12</v>
      </c>
      <c r="M4" s="85" t="s">
        <v>13</v>
      </c>
      <c r="N4" s="86" t="s">
        <v>14</v>
      </c>
      <c r="O4" s="66"/>
    </row>
    <row r="5" spans="1:15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66"/>
    </row>
    <row r="6" spans="1:15" x14ac:dyDescent="0.25">
      <c r="A6" s="86" t="s">
        <v>15</v>
      </c>
      <c r="B6" s="32">
        <f>30+1</f>
        <v>31</v>
      </c>
      <c r="C6" s="58">
        <f>31+3-2-0.75</f>
        <v>31.25</v>
      </c>
      <c r="D6" s="58">
        <f>31</f>
        <v>31</v>
      </c>
      <c r="E6" s="348">
        <f>31-1</f>
        <v>30</v>
      </c>
      <c r="F6" s="318">
        <f>30-1-0.5</f>
        <v>28.5</v>
      </c>
      <c r="G6" s="319">
        <v>31</v>
      </c>
      <c r="H6" s="318">
        <v>31</v>
      </c>
      <c r="I6" s="318">
        <v>31</v>
      </c>
      <c r="J6" s="318">
        <v>31</v>
      </c>
      <c r="K6" s="318">
        <v>31</v>
      </c>
      <c r="L6" s="318">
        <v>31</v>
      </c>
      <c r="M6" s="320">
        <v>31</v>
      </c>
      <c r="N6" s="8">
        <f>SUM(B6:M6)/12</f>
        <v>30.729166666666668</v>
      </c>
      <c r="O6" s="66"/>
    </row>
    <row r="7" spans="1:15" x14ac:dyDescent="0.25">
      <c r="A7" s="86" t="s">
        <v>16</v>
      </c>
      <c r="B7" s="33">
        <f>3+1</f>
        <v>4</v>
      </c>
      <c r="C7" s="33">
        <v>4</v>
      </c>
      <c r="D7" s="33">
        <v>4</v>
      </c>
      <c r="E7" s="34">
        <v>4</v>
      </c>
      <c r="F7" s="44">
        <v>4</v>
      </c>
      <c r="G7" s="44">
        <v>3</v>
      </c>
      <c r="H7" s="44">
        <v>3</v>
      </c>
      <c r="I7" s="44">
        <v>3</v>
      </c>
      <c r="J7" s="44">
        <v>3</v>
      </c>
      <c r="K7" s="44">
        <v>3</v>
      </c>
      <c r="L7" s="44">
        <v>3</v>
      </c>
      <c r="M7" s="11">
        <v>3</v>
      </c>
      <c r="N7" s="10">
        <f>SUM(B7:M7)/12</f>
        <v>3.4166666666666665</v>
      </c>
      <c r="O7" s="66"/>
    </row>
    <row r="8" spans="1:15" x14ac:dyDescent="0.25">
      <c r="A8" s="86" t="s">
        <v>17</v>
      </c>
      <c r="B8" s="34"/>
      <c r="C8" s="34"/>
      <c r="D8" s="34"/>
      <c r="E8" s="34"/>
      <c r="F8" s="44"/>
      <c r="G8" s="44"/>
      <c r="H8" s="44"/>
      <c r="I8" s="44"/>
      <c r="J8" s="44"/>
      <c r="K8" s="44"/>
      <c r="L8" s="44"/>
      <c r="M8" s="11"/>
      <c r="N8" s="10">
        <f>SUM(B8:M8)/12</f>
        <v>0</v>
      </c>
      <c r="O8" s="66"/>
    </row>
    <row r="9" spans="1:15" x14ac:dyDescent="0.25">
      <c r="A9" s="86"/>
      <c r="B9" s="11"/>
      <c r="C9" s="11"/>
      <c r="D9" s="11"/>
      <c r="E9" s="11"/>
      <c r="F9" s="11"/>
      <c r="G9" s="11"/>
      <c r="H9" s="9"/>
      <c r="I9" s="11"/>
      <c r="J9" s="11"/>
      <c r="K9" s="11"/>
      <c r="L9" s="11"/>
      <c r="M9" s="11"/>
      <c r="N9" s="12"/>
      <c r="O9" s="67"/>
    </row>
    <row r="10" spans="1:15" x14ac:dyDescent="0.25">
      <c r="A10" s="84" t="s">
        <v>18</v>
      </c>
      <c r="B10" s="4">
        <f>B6+(B8*1.5)+(B7*0.8)</f>
        <v>34.200000000000003</v>
      </c>
      <c r="C10" s="4">
        <f>C6+(C8*1.5)+(C7*0.8)</f>
        <v>34.450000000000003</v>
      </c>
      <c r="D10" s="4">
        <f>D6+(D8*1.5)+(D7*0.8)</f>
        <v>34.200000000000003</v>
      </c>
      <c r="E10" s="4">
        <f>E6+(E8*1.5)+(E7*0.8)</f>
        <v>33.200000000000003</v>
      </c>
      <c r="F10" s="4">
        <f>F6+(F8*1.5)+(F7*0.8)</f>
        <v>31.7</v>
      </c>
      <c r="G10" s="4">
        <f t="shared" ref="G10:M10" si="0">G6+(G8*1.5)+(G7*0.8)</f>
        <v>33.4</v>
      </c>
      <c r="H10" s="4">
        <f t="shared" si="0"/>
        <v>33.4</v>
      </c>
      <c r="I10" s="4">
        <f t="shared" si="0"/>
        <v>33.4</v>
      </c>
      <c r="J10" s="4">
        <f t="shared" si="0"/>
        <v>33.4</v>
      </c>
      <c r="K10" s="4">
        <f t="shared" si="0"/>
        <v>33.4</v>
      </c>
      <c r="L10" s="4">
        <f t="shared" si="0"/>
        <v>33.4</v>
      </c>
      <c r="M10" s="4">
        <f t="shared" si="0"/>
        <v>33.4</v>
      </c>
      <c r="N10" s="10">
        <f>SUM(B10:M10)/12</f>
        <v>33.462499999999991</v>
      </c>
      <c r="O10" s="66"/>
    </row>
    <row r="11" spans="1:15" x14ac:dyDescent="0.25">
      <c r="A11" s="81" t="s">
        <v>19</v>
      </c>
      <c r="B11" s="77">
        <v>2</v>
      </c>
      <c r="C11" s="68">
        <v>3</v>
      </c>
      <c r="D11" s="68">
        <v>0</v>
      </c>
      <c r="E11" s="68">
        <v>0</v>
      </c>
      <c r="F11" s="68">
        <v>0</v>
      </c>
      <c r="G11" s="68">
        <v>2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82">
        <v>7</v>
      </c>
      <c r="O11" s="66"/>
    </row>
    <row r="12" spans="1:15" x14ac:dyDescent="0.25">
      <c r="A12" s="91"/>
      <c r="B12" s="104" t="s">
        <v>70</v>
      </c>
      <c r="C12" s="95" t="s">
        <v>69</v>
      </c>
      <c r="D12" s="112" t="s">
        <v>72</v>
      </c>
      <c r="E12" s="95" t="s">
        <v>130</v>
      </c>
      <c r="F12" s="95" t="s">
        <v>142</v>
      </c>
      <c r="G12" s="95"/>
      <c r="H12" s="95"/>
      <c r="I12" s="95"/>
      <c r="J12" s="95"/>
      <c r="K12" s="95"/>
      <c r="L12" s="95"/>
      <c r="M12" s="95"/>
      <c r="N12" s="90"/>
      <c r="O12" s="93"/>
    </row>
    <row r="13" spans="1:15" x14ac:dyDescent="0.25">
      <c r="A13" s="91"/>
      <c r="B13" s="104"/>
      <c r="C13" s="95" t="s">
        <v>71</v>
      </c>
      <c r="D13" s="95"/>
      <c r="E13" s="95"/>
      <c r="F13" s="95"/>
      <c r="G13" s="95"/>
      <c r="H13" s="95"/>
      <c r="I13" s="95"/>
      <c r="J13" s="95"/>
      <c r="K13" s="95"/>
      <c r="L13" s="95"/>
      <c r="M13" s="332"/>
      <c r="N13" s="333"/>
      <c r="O13" s="93"/>
    </row>
    <row r="15" spans="1:15" x14ac:dyDescent="0.25">
      <c r="A15" s="147" t="s">
        <v>0</v>
      </c>
      <c r="B15" s="146"/>
      <c r="C15" s="146"/>
      <c r="D15" s="14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</row>
    <row r="16" spans="1:15" x14ac:dyDescent="0.25">
      <c r="A16" s="136" t="s">
        <v>67</v>
      </c>
      <c r="B16" s="137" t="s">
        <v>2</v>
      </c>
      <c r="C16" s="137" t="s">
        <v>3</v>
      </c>
      <c r="D16" s="137" t="s">
        <v>4</v>
      </c>
      <c r="E16" s="137" t="s">
        <v>5</v>
      </c>
      <c r="F16" s="137" t="s">
        <v>6</v>
      </c>
      <c r="G16" s="137" t="s">
        <v>7</v>
      </c>
      <c r="H16" s="137" t="s">
        <v>8</v>
      </c>
      <c r="I16" s="137" t="s">
        <v>9</v>
      </c>
      <c r="J16" s="137" t="s">
        <v>10</v>
      </c>
      <c r="K16" s="137" t="s">
        <v>11</v>
      </c>
      <c r="L16" s="137" t="s">
        <v>12</v>
      </c>
      <c r="M16" s="137" t="s">
        <v>13</v>
      </c>
      <c r="N16" s="138" t="s">
        <v>14</v>
      </c>
      <c r="O16" s="132"/>
    </row>
    <row r="17" spans="1:15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2"/>
    </row>
    <row r="18" spans="1:15" x14ac:dyDescent="0.25">
      <c r="A18" s="138" t="s">
        <v>15</v>
      </c>
      <c r="B18" s="144">
        <v>33</v>
      </c>
      <c r="C18" s="137">
        <v>34</v>
      </c>
      <c r="D18" s="137">
        <v>34</v>
      </c>
      <c r="E18" s="137">
        <v>34</v>
      </c>
      <c r="F18" s="137">
        <v>35</v>
      </c>
      <c r="G18" s="145">
        <v>36</v>
      </c>
      <c r="H18" s="137">
        <v>37</v>
      </c>
      <c r="I18" s="137">
        <v>37</v>
      </c>
      <c r="J18" s="137">
        <v>37</v>
      </c>
      <c r="K18" s="137">
        <v>38</v>
      </c>
      <c r="L18" s="137">
        <v>38</v>
      </c>
      <c r="M18" s="137">
        <v>38</v>
      </c>
      <c r="N18" s="139">
        <v>35.916666666666664</v>
      </c>
      <c r="O18" s="132"/>
    </row>
    <row r="19" spans="1:15" x14ac:dyDescent="0.25">
      <c r="A19" s="138" t="s">
        <v>16</v>
      </c>
      <c r="B19" s="140">
        <v>2</v>
      </c>
      <c r="C19" s="140">
        <v>2</v>
      </c>
      <c r="D19" s="140">
        <v>2</v>
      </c>
      <c r="E19" s="140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1">
        <v>2</v>
      </c>
      <c r="O19" s="132"/>
    </row>
    <row r="20" spans="1:15" x14ac:dyDescent="0.25">
      <c r="A20" s="138" t="s">
        <v>17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1">
        <v>0</v>
      </c>
      <c r="O20" s="132"/>
    </row>
    <row r="21" spans="1:15" x14ac:dyDescent="0.25">
      <c r="A21" s="138"/>
      <c r="B21" s="142"/>
      <c r="C21" s="142"/>
      <c r="D21" s="142"/>
      <c r="E21" s="142"/>
      <c r="F21" s="142"/>
      <c r="G21" s="142"/>
      <c r="H21" s="140"/>
      <c r="I21" s="142"/>
      <c r="J21" s="142"/>
      <c r="K21" s="142"/>
      <c r="L21" s="142"/>
      <c r="M21" s="142"/>
      <c r="N21" s="143"/>
      <c r="O21" s="133"/>
    </row>
    <row r="22" spans="1:15" x14ac:dyDescent="0.25">
      <c r="A22" s="136" t="s">
        <v>18</v>
      </c>
      <c r="B22" s="137">
        <v>34.6</v>
      </c>
      <c r="C22" s="137">
        <v>35.6</v>
      </c>
      <c r="D22" s="137">
        <v>35.6</v>
      </c>
      <c r="E22" s="137">
        <v>35.6</v>
      </c>
      <c r="F22" s="137">
        <v>36.6</v>
      </c>
      <c r="G22" s="137">
        <v>37.6</v>
      </c>
      <c r="H22" s="137">
        <v>38.6</v>
      </c>
      <c r="I22" s="137">
        <v>38.6</v>
      </c>
      <c r="J22" s="137">
        <v>38.6</v>
      </c>
      <c r="K22" s="137">
        <v>39.6</v>
      </c>
      <c r="L22" s="137">
        <v>39.6</v>
      </c>
      <c r="M22" s="137">
        <v>39.6</v>
      </c>
      <c r="N22" s="141">
        <v>37.516666666666673</v>
      </c>
      <c r="O22" s="132"/>
    </row>
    <row r="23" spans="1:15" x14ac:dyDescent="0.25">
      <c r="A23" s="132"/>
      <c r="B23" s="135">
        <v>2</v>
      </c>
      <c r="C23" s="134">
        <v>3</v>
      </c>
      <c r="D23" s="134">
        <v>0</v>
      </c>
      <c r="E23" s="134">
        <v>0</v>
      </c>
      <c r="F23" s="134">
        <v>1</v>
      </c>
      <c r="G23" s="134">
        <v>1</v>
      </c>
      <c r="H23" s="134">
        <v>1</v>
      </c>
      <c r="I23" s="134">
        <v>0</v>
      </c>
      <c r="J23" s="134">
        <v>0</v>
      </c>
      <c r="K23" s="134">
        <v>1</v>
      </c>
      <c r="L23" s="134">
        <v>0</v>
      </c>
      <c r="M23" s="134">
        <v>0</v>
      </c>
      <c r="N23" s="141">
        <v>9</v>
      </c>
      <c r="O23" s="132"/>
    </row>
    <row r="24" spans="1:15" x14ac:dyDescent="0.25">
      <c r="A24" s="132"/>
      <c r="B24" s="135" t="s">
        <v>68</v>
      </c>
      <c r="C24" s="132" t="s">
        <v>69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6" spans="1:15" x14ac:dyDescent="0.25">
      <c r="A26" s="400" t="s">
        <v>288</v>
      </c>
      <c r="B26" s="400"/>
      <c r="C26" s="400"/>
      <c r="D26" s="400"/>
    </row>
    <row r="27" spans="1:15" x14ac:dyDescent="0.25">
      <c r="A27" s="303" t="s">
        <v>67</v>
      </c>
      <c r="B27" s="304" t="s">
        <v>2</v>
      </c>
      <c r="C27" s="304" t="s">
        <v>3</v>
      </c>
      <c r="D27" s="304" t="s">
        <v>4</v>
      </c>
      <c r="E27" s="304" t="s">
        <v>5</v>
      </c>
      <c r="F27" s="304" t="s">
        <v>6</v>
      </c>
      <c r="G27" s="304" t="s">
        <v>7</v>
      </c>
      <c r="H27" s="304" t="s">
        <v>8</v>
      </c>
      <c r="I27" s="304" t="s">
        <v>9</v>
      </c>
      <c r="J27" s="304" t="s">
        <v>10</v>
      </c>
      <c r="K27" s="304" t="s">
        <v>11</v>
      </c>
      <c r="L27" s="304" t="s">
        <v>12</v>
      </c>
      <c r="M27" s="304" t="s">
        <v>13</v>
      </c>
      <c r="N27" s="305" t="s">
        <v>14</v>
      </c>
    </row>
    <row r="28" spans="1:15" x14ac:dyDescent="0.2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</row>
    <row r="29" spans="1:15" x14ac:dyDescent="0.25">
      <c r="A29" s="305" t="s">
        <v>15</v>
      </c>
      <c r="B29" s="322">
        <f>31-10+2</f>
        <v>23</v>
      </c>
      <c r="C29" s="318">
        <v>24</v>
      </c>
      <c r="D29" s="318">
        <v>25</v>
      </c>
      <c r="E29" s="318">
        <v>27</v>
      </c>
      <c r="F29" s="318">
        <v>27</v>
      </c>
      <c r="G29" s="319">
        <v>27</v>
      </c>
      <c r="H29" s="318">
        <v>28</v>
      </c>
      <c r="I29" s="318">
        <v>28</v>
      </c>
      <c r="J29" s="318">
        <v>29</v>
      </c>
      <c r="K29" s="318">
        <v>30</v>
      </c>
      <c r="L29" s="318">
        <v>32</v>
      </c>
      <c r="M29" s="318">
        <v>33</v>
      </c>
      <c r="N29" s="8">
        <f>SUM(B29:M29)/12</f>
        <v>27.75</v>
      </c>
    </row>
    <row r="30" spans="1:15" x14ac:dyDescent="0.25">
      <c r="A30" s="305" t="s">
        <v>16</v>
      </c>
      <c r="B30" s="44">
        <f>3-1</f>
        <v>2</v>
      </c>
      <c r="C30" s="44">
        <v>2</v>
      </c>
      <c r="D30" s="44">
        <v>2</v>
      </c>
      <c r="E30" s="44">
        <v>2</v>
      </c>
      <c r="F30" s="44">
        <v>2</v>
      </c>
      <c r="G30" s="44">
        <v>2</v>
      </c>
      <c r="H30" s="44">
        <v>2</v>
      </c>
      <c r="I30" s="44">
        <v>2</v>
      </c>
      <c r="J30" s="44">
        <v>2</v>
      </c>
      <c r="K30" s="44">
        <v>2</v>
      </c>
      <c r="L30" s="44">
        <v>2</v>
      </c>
      <c r="M30" s="44">
        <v>2</v>
      </c>
      <c r="N30" s="10">
        <f>SUM(B30:M30)/12</f>
        <v>2</v>
      </c>
    </row>
    <row r="31" spans="1:15" x14ac:dyDescent="0.25">
      <c r="A31" s="305" t="s">
        <v>17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10">
        <f>SUM(B31:M31)/12</f>
        <v>0</v>
      </c>
    </row>
    <row r="32" spans="1:15" x14ac:dyDescent="0.25">
      <c r="A32" s="305"/>
      <c r="B32" s="11"/>
      <c r="C32" s="11"/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2"/>
    </row>
    <row r="33" spans="1:14" x14ac:dyDescent="0.25">
      <c r="A33" s="303" t="s">
        <v>62</v>
      </c>
      <c r="B33" s="4">
        <f>B29+(B31*1.5)+(B30*0.8)</f>
        <v>24.6</v>
      </c>
      <c r="C33" s="4">
        <f>C29+(C31*1.5)+(C30*0.8)</f>
        <v>25.6</v>
      </c>
      <c r="D33" s="4">
        <f>D29+(D31*1.5)+(D30*0.8)</f>
        <v>26.6</v>
      </c>
      <c r="E33" s="4">
        <f>E29+(E31*1.5)+(E30*0.8)</f>
        <v>28.6</v>
      </c>
      <c r="F33" s="4">
        <f>F29+(F31*1.5)+(F30*0.8)</f>
        <v>28.6</v>
      </c>
      <c r="G33" s="4">
        <f t="shared" ref="G33:M33" si="1">G29+(G31*1.5)+(G30*0.8)</f>
        <v>28.6</v>
      </c>
      <c r="H33" s="4">
        <f t="shared" si="1"/>
        <v>29.6</v>
      </c>
      <c r="I33" s="4">
        <f t="shared" si="1"/>
        <v>29.6</v>
      </c>
      <c r="J33" s="4">
        <f t="shared" si="1"/>
        <v>30.6</v>
      </c>
      <c r="K33" s="4">
        <f t="shared" si="1"/>
        <v>31.6</v>
      </c>
      <c r="L33" s="4">
        <f t="shared" si="1"/>
        <v>33.6</v>
      </c>
      <c r="M33" s="4">
        <f t="shared" si="1"/>
        <v>34.6</v>
      </c>
      <c r="N33" s="10">
        <f>SUM(B33:M33)/12</f>
        <v>29.350000000000005</v>
      </c>
    </row>
    <row r="34" spans="1:14" x14ac:dyDescent="0.25">
      <c r="A34" s="107" t="s">
        <v>19</v>
      </c>
      <c r="B34" s="104">
        <v>2</v>
      </c>
      <c r="C34" s="95">
        <v>1</v>
      </c>
      <c r="D34" s="95">
        <v>1</v>
      </c>
      <c r="E34" s="95">
        <v>2</v>
      </c>
      <c r="F34" s="95">
        <v>0</v>
      </c>
      <c r="G34" s="95">
        <v>0</v>
      </c>
      <c r="H34" s="95">
        <v>1</v>
      </c>
      <c r="I34" s="95">
        <v>0</v>
      </c>
      <c r="J34" s="95">
        <v>1</v>
      </c>
      <c r="K34" s="95">
        <v>1</v>
      </c>
      <c r="L34" s="95">
        <v>2</v>
      </c>
      <c r="M34" s="95">
        <v>1</v>
      </c>
      <c r="N34" s="109">
        <f>SUM(B34:M34)</f>
        <v>12</v>
      </c>
    </row>
    <row r="35" spans="1:14" x14ac:dyDescent="0.25">
      <c r="B35" s="47" t="s">
        <v>291</v>
      </c>
    </row>
    <row r="36" spans="1:14" x14ac:dyDescent="0.25">
      <c r="B36" s="47" t="s">
        <v>70</v>
      </c>
    </row>
    <row r="37" spans="1:14" x14ac:dyDescent="0.25">
      <c r="A37" s="358" t="s">
        <v>195</v>
      </c>
      <c r="B37" s="358"/>
      <c r="C37" s="358"/>
      <c r="D37" s="358"/>
    </row>
    <row r="38" spans="1:14" x14ac:dyDescent="0.25">
      <c r="A38" s="303" t="s">
        <v>67</v>
      </c>
      <c r="B38" s="304" t="s">
        <v>2</v>
      </c>
      <c r="C38" s="304" t="s">
        <v>3</v>
      </c>
      <c r="D38" s="304" t="s">
        <v>4</v>
      </c>
      <c r="E38" s="304" t="s">
        <v>5</v>
      </c>
      <c r="F38" s="304" t="s">
        <v>6</v>
      </c>
      <c r="G38" s="304" t="s">
        <v>7</v>
      </c>
      <c r="H38" s="304" t="s">
        <v>8</v>
      </c>
      <c r="I38" s="304" t="s">
        <v>9</v>
      </c>
      <c r="J38" s="304" t="s">
        <v>10</v>
      </c>
      <c r="K38" s="304" t="s">
        <v>11</v>
      </c>
      <c r="L38" s="304" t="s">
        <v>12</v>
      </c>
      <c r="M38" s="304" t="s">
        <v>13</v>
      </c>
      <c r="N38" s="305" t="s">
        <v>14</v>
      </c>
    </row>
    <row r="39" spans="1:14" x14ac:dyDescent="0.2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</row>
    <row r="40" spans="1:14" x14ac:dyDescent="0.25">
      <c r="A40" s="305" t="s">
        <v>15</v>
      </c>
      <c r="B40" s="322">
        <f>31-11+1</f>
        <v>21</v>
      </c>
      <c r="C40" s="318">
        <v>22</v>
      </c>
      <c r="D40" s="318">
        <v>23</v>
      </c>
      <c r="E40" s="318">
        <v>25</v>
      </c>
      <c r="F40" s="318">
        <v>25</v>
      </c>
      <c r="G40" s="319">
        <v>25</v>
      </c>
      <c r="H40" s="318">
        <v>26</v>
      </c>
      <c r="I40" s="318">
        <v>26</v>
      </c>
      <c r="J40" s="318">
        <v>26</v>
      </c>
      <c r="K40" s="318">
        <v>27</v>
      </c>
      <c r="L40" s="318">
        <v>29</v>
      </c>
      <c r="M40" s="318">
        <v>30</v>
      </c>
      <c r="N40" s="8">
        <f>SUM(B40:M40)/12</f>
        <v>25.416666666666668</v>
      </c>
    </row>
    <row r="41" spans="1:14" x14ac:dyDescent="0.25">
      <c r="A41" s="305" t="s">
        <v>16</v>
      </c>
      <c r="B41" s="44">
        <f>4-1</f>
        <v>3</v>
      </c>
      <c r="C41" s="44">
        <v>3</v>
      </c>
      <c r="D41" s="44">
        <v>3</v>
      </c>
      <c r="E41" s="44">
        <v>3</v>
      </c>
      <c r="F41" s="44">
        <v>3</v>
      </c>
      <c r="G41" s="44">
        <v>3</v>
      </c>
      <c r="H41" s="44">
        <v>3</v>
      </c>
      <c r="I41" s="44">
        <v>3</v>
      </c>
      <c r="J41" s="44">
        <v>3</v>
      </c>
      <c r="K41" s="44">
        <v>3</v>
      </c>
      <c r="L41" s="44">
        <v>3</v>
      </c>
      <c r="M41" s="44">
        <v>3</v>
      </c>
      <c r="N41" s="10">
        <f>SUM(B41:M41)/12</f>
        <v>3</v>
      </c>
    </row>
    <row r="42" spans="1:14" x14ac:dyDescent="0.25">
      <c r="A42" s="305" t="s">
        <v>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0">
        <f>SUM(B42:M42)/12</f>
        <v>0</v>
      </c>
    </row>
    <row r="43" spans="1:14" x14ac:dyDescent="0.25">
      <c r="A43" s="305"/>
      <c r="B43" s="11"/>
      <c r="C43" s="11"/>
      <c r="D43" s="11"/>
      <c r="E43" s="11"/>
      <c r="F43" s="11"/>
      <c r="G43" s="11"/>
      <c r="H43" s="9"/>
      <c r="I43" s="11"/>
      <c r="J43" s="11"/>
      <c r="K43" s="11"/>
      <c r="L43" s="11"/>
      <c r="M43" s="11"/>
      <c r="N43" s="12"/>
    </row>
    <row r="44" spans="1:14" x14ac:dyDescent="0.25">
      <c r="A44" s="303" t="s">
        <v>62</v>
      </c>
      <c r="B44" s="4">
        <f>B40+(B42*1.5)+(B41*0.8)</f>
        <v>23.4</v>
      </c>
      <c r="C44" s="4">
        <f>C40+(C42*1.5)+(C41*0.8)</f>
        <v>24.4</v>
      </c>
      <c r="D44" s="4">
        <f>D40+(D42*1.5)+(D41*0.8)</f>
        <v>25.4</v>
      </c>
      <c r="E44" s="4">
        <f>E40+(E42*1.5)+(E41*0.8)</f>
        <v>27.4</v>
      </c>
      <c r="F44" s="4">
        <f>F40+(F42*1.5)+(F41*0.8)</f>
        <v>27.4</v>
      </c>
      <c r="G44" s="4">
        <f t="shared" ref="G44:M44" si="2">G40+(G42*1.5)+(G41*0.8)</f>
        <v>27.4</v>
      </c>
      <c r="H44" s="4">
        <f t="shared" si="2"/>
        <v>28.4</v>
      </c>
      <c r="I44" s="4">
        <f t="shared" si="2"/>
        <v>28.4</v>
      </c>
      <c r="J44" s="4">
        <f t="shared" si="2"/>
        <v>28.4</v>
      </c>
      <c r="K44" s="4">
        <f t="shared" si="2"/>
        <v>29.4</v>
      </c>
      <c r="L44" s="4">
        <f t="shared" si="2"/>
        <v>31.4</v>
      </c>
      <c r="M44" s="4">
        <f t="shared" si="2"/>
        <v>32.4</v>
      </c>
      <c r="N44" s="10">
        <f>SUM(B44:M44)/12</f>
        <v>27.816666666666663</v>
      </c>
    </row>
    <row r="45" spans="1:14" x14ac:dyDescent="0.25">
      <c r="A45" s="107" t="s">
        <v>19</v>
      </c>
      <c r="B45" s="104">
        <v>1</v>
      </c>
      <c r="C45" s="95">
        <v>1</v>
      </c>
      <c r="D45" s="95">
        <v>1</v>
      </c>
      <c r="E45" s="95">
        <v>2</v>
      </c>
      <c r="F45" s="95">
        <v>0</v>
      </c>
      <c r="G45" s="95">
        <v>0</v>
      </c>
      <c r="H45" s="95">
        <v>1</v>
      </c>
      <c r="I45" s="95">
        <v>0</v>
      </c>
      <c r="J45" s="95">
        <v>0</v>
      </c>
      <c r="K45" s="95">
        <v>1</v>
      </c>
      <c r="L45" s="95">
        <v>2</v>
      </c>
      <c r="M45" s="95">
        <v>1</v>
      </c>
      <c r="N45" s="109">
        <f>SUM(B45:M45)</f>
        <v>10</v>
      </c>
    </row>
    <row r="47" spans="1:14" x14ac:dyDescent="0.25">
      <c r="A47" s="358" t="s">
        <v>141</v>
      </c>
      <c r="B47" s="358"/>
      <c r="C47" s="358"/>
      <c r="D47" s="358"/>
    </row>
    <row r="48" spans="1:14" x14ac:dyDescent="0.25">
      <c r="A48" s="303" t="s">
        <v>67</v>
      </c>
      <c r="B48" s="304" t="s">
        <v>2</v>
      </c>
      <c r="C48" s="304" t="s">
        <v>3</v>
      </c>
      <c r="D48" s="304" t="s">
        <v>4</v>
      </c>
      <c r="E48" s="304" t="s">
        <v>5</v>
      </c>
      <c r="F48" s="304" t="s">
        <v>6</v>
      </c>
      <c r="G48" s="304" t="s">
        <v>7</v>
      </c>
      <c r="H48" s="304" t="s">
        <v>8</v>
      </c>
      <c r="I48" s="304" t="s">
        <v>9</v>
      </c>
      <c r="J48" s="304" t="s">
        <v>10</v>
      </c>
      <c r="K48" s="304" t="s">
        <v>11</v>
      </c>
      <c r="L48" s="304" t="s">
        <v>12</v>
      </c>
      <c r="M48" s="304" t="s">
        <v>13</v>
      </c>
      <c r="N48" s="305" t="s">
        <v>14</v>
      </c>
    </row>
    <row r="49" spans="1:14" x14ac:dyDescent="0.25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</row>
    <row r="50" spans="1:14" x14ac:dyDescent="0.25">
      <c r="A50" s="305" t="s">
        <v>15</v>
      </c>
      <c r="B50" s="322">
        <f>33-2-11+1</f>
        <v>21</v>
      </c>
      <c r="C50" s="318">
        <v>22</v>
      </c>
      <c r="D50" s="318">
        <v>23</v>
      </c>
      <c r="E50" s="318">
        <v>25</v>
      </c>
      <c r="F50" s="318">
        <v>25</v>
      </c>
      <c r="G50" s="319">
        <v>25</v>
      </c>
      <c r="H50" s="318">
        <v>26</v>
      </c>
      <c r="I50" s="318">
        <v>26</v>
      </c>
      <c r="J50" s="318">
        <v>26</v>
      </c>
      <c r="K50" s="318">
        <v>27</v>
      </c>
      <c r="L50" s="318">
        <v>29</v>
      </c>
      <c r="M50" s="318">
        <v>29</v>
      </c>
      <c r="N50" s="8">
        <f>SUM(B50:M50)/12</f>
        <v>25.333333333333332</v>
      </c>
    </row>
    <row r="51" spans="1:14" x14ac:dyDescent="0.25">
      <c r="A51" s="305" t="s">
        <v>16</v>
      </c>
      <c r="B51" s="44">
        <f>4-1</f>
        <v>3</v>
      </c>
      <c r="C51" s="44">
        <v>3</v>
      </c>
      <c r="D51" s="44">
        <v>3</v>
      </c>
      <c r="E51" s="44">
        <v>3</v>
      </c>
      <c r="F51" s="44">
        <v>3</v>
      </c>
      <c r="G51" s="44">
        <v>3</v>
      </c>
      <c r="H51" s="44">
        <v>3</v>
      </c>
      <c r="I51" s="44">
        <v>3</v>
      </c>
      <c r="J51" s="44">
        <v>3</v>
      </c>
      <c r="K51" s="44">
        <v>3</v>
      </c>
      <c r="L51" s="44">
        <v>3</v>
      </c>
      <c r="M51" s="44">
        <v>3</v>
      </c>
      <c r="N51" s="10">
        <f>SUM(B51:M51)/12</f>
        <v>3</v>
      </c>
    </row>
    <row r="52" spans="1:14" x14ac:dyDescent="0.25">
      <c r="A52" s="305" t="s">
        <v>17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10">
        <f>SUM(B52:M52)/12</f>
        <v>0</v>
      </c>
    </row>
    <row r="53" spans="1:14" x14ac:dyDescent="0.25">
      <c r="A53" s="305"/>
      <c r="B53" s="11"/>
      <c r="C53" s="11"/>
      <c r="D53" s="11"/>
      <c r="E53" s="11"/>
      <c r="F53" s="11"/>
      <c r="G53" s="11"/>
      <c r="H53" s="9"/>
      <c r="I53" s="11"/>
      <c r="J53" s="11"/>
      <c r="K53" s="11"/>
      <c r="L53" s="11"/>
      <c r="M53" s="11"/>
      <c r="N53" s="12"/>
    </row>
    <row r="54" spans="1:14" x14ac:dyDescent="0.25">
      <c r="A54" s="303" t="s">
        <v>62</v>
      </c>
      <c r="B54" s="4">
        <f>B50+(B52*1.5)+(B51*0.8)</f>
        <v>23.4</v>
      </c>
      <c r="C54" s="4">
        <f>C50+(C52*1.5)+(C51*0.8)</f>
        <v>24.4</v>
      </c>
      <c r="D54" s="4">
        <f>D50+(D52*1.5)+(D51*0.8)</f>
        <v>25.4</v>
      </c>
      <c r="E54" s="4">
        <f>E50+(E52*1.5)+(E51*0.8)</f>
        <v>27.4</v>
      </c>
      <c r="F54" s="4">
        <f>F50+(F52*1.5)+(F51*0.8)</f>
        <v>27.4</v>
      </c>
      <c r="G54" s="4">
        <f t="shared" ref="G54:M54" si="3">G50+(G52*1.5)+(G51*0.8)</f>
        <v>27.4</v>
      </c>
      <c r="H54" s="4">
        <f t="shared" si="3"/>
        <v>28.4</v>
      </c>
      <c r="I54" s="4">
        <f t="shared" si="3"/>
        <v>28.4</v>
      </c>
      <c r="J54" s="4">
        <f t="shared" si="3"/>
        <v>28.4</v>
      </c>
      <c r="K54" s="4">
        <f t="shared" si="3"/>
        <v>29.4</v>
      </c>
      <c r="L54" s="4">
        <f t="shared" si="3"/>
        <v>31.4</v>
      </c>
      <c r="M54" s="4">
        <f t="shared" si="3"/>
        <v>31.4</v>
      </c>
      <c r="N54" s="10">
        <f>SUM(B54:M54)/12</f>
        <v>27.733333333333331</v>
      </c>
    </row>
    <row r="55" spans="1:14" x14ac:dyDescent="0.25">
      <c r="A55" s="107" t="s">
        <v>19</v>
      </c>
      <c r="B55" s="104">
        <v>1</v>
      </c>
      <c r="C55" s="95">
        <v>1</v>
      </c>
      <c r="D55" s="95">
        <v>1</v>
      </c>
      <c r="E55" s="95">
        <v>2</v>
      </c>
      <c r="F55" s="95">
        <v>0</v>
      </c>
      <c r="G55" s="95">
        <v>0</v>
      </c>
      <c r="H55" s="95">
        <v>1</v>
      </c>
      <c r="I55" s="95">
        <v>0</v>
      </c>
      <c r="J55" s="95">
        <v>0</v>
      </c>
      <c r="K55" s="95">
        <v>1</v>
      </c>
      <c r="L55" s="95">
        <v>2</v>
      </c>
      <c r="M55" s="95">
        <v>0</v>
      </c>
      <c r="N55" s="109">
        <v>7</v>
      </c>
    </row>
    <row r="56" spans="1:14" x14ac:dyDescent="0.25">
      <c r="B56" s="54" t="s">
        <v>120</v>
      </c>
      <c r="C56" s="54"/>
    </row>
    <row r="57" spans="1:14" x14ac:dyDescent="0.25">
      <c r="B57" s="54" t="s">
        <v>70</v>
      </c>
      <c r="C57" s="337"/>
      <c r="D57" s="27"/>
      <c r="E57" s="27"/>
      <c r="F57" s="27"/>
      <c r="G57" s="350"/>
      <c r="H57" s="350"/>
      <c r="I57" s="350"/>
      <c r="J57" s="350"/>
      <c r="K57" s="350"/>
      <c r="L57" s="350"/>
      <c r="M57" s="350"/>
    </row>
    <row r="59" spans="1:14" x14ac:dyDescent="0.25">
      <c r="B59" t="s">
        <v>153</v>
      </c>
    </row>
    <row r="60" spans="1:14" x14ac:dyDescent="0.25">
      <c r="B60" t="s">
        <v>144</v>
      </c>
    </row>
    <row r="62" spans="1:14" x14ac:dyDescent="0.25">
      <c r="A62" s="358" t="s">
        <v>145</v>
      </c>
      <c r="B62" s="358"/>
      <c r="C62" s="358"/>
      <c r="D62" s="358"/>
    </row>
    <row r="63" spans="1:14" x14ac:dyDescent="0.25">
      <c r="A63" s="303" t="s">
        <v>67</v>
      </c>
      <c r="B63" s="304" t="s">
        <v>2</v>
      </c>
      <c r="C63" s="304" t="s">
        <v>3</v>
      </c>
      <c r="D63" s="304" t="s">
        <v>4</v>
      </c>
      <c r="E63" s="304" t="s">
        <v>5</v>
      </c>
      <c r="F63" s="304" t="s">
        <v>6</v>
      </c>
      <c r="G63" s="304" t="s">
        <v>7</v>
      </c>
      <c r="H63" s="304" t="s">
        <v>8</v>
      </c>
      <c r="I63" s="304" t="s">
        <v>9</v>
      </c>
      <c r="J63" s="304" t="s">
        <v>10</v>
      </c>
      <c r="K63" s="304" t="s">
        <v>11</v>
      </c>
      <c r="L63" s="304" t="s">
        <v>12</v>
      </c>
      <c r="M63" s="304" t="s">
        <v>13</v>
      </c>
      <c r="N63" s="305" t="s">
        <v>14</v>
      </c>
    </row>
    <row r="64" spans="1:14" x14ac:dyDescent="0.2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</row>
    <row r="65" spans="1:15" x14ac:dyDescent="0.25">
      <c r="A65" s="305" t="s">
        <v>15</v>
      </c>
      <c r="B65" s="322">
        <f>31-11+1+2</f>
        <v>23</v>
      </c>
      <c r="C65" s="318">
        <v>25</v>
      </c>
      <c r="D65" s="318">
        <v>29</v>
      </c>
      <c r="E65" s="318">
        <v>31</v>
      </c>
      <c r="F65" s="318">
        <v>31</v>
      </c>
      <c r="G65" s="319">
        <v>31</v>
      </c>
      <c r="H65" s="318">
        <v>33</v>
      </c>
      <c r="I65" s="318">
        <v>34</v>
      </c>
      <c r="J65" s="318">
        <v>36</v>
      </c>
      <c r="K65" s="318">
        <v>38</v>
      </c>
      <c r="L65" s="318">
        <v>40</v>
      </c>
      <c r="M65" s="318">
        <v>44</v>
      </c>
      <c r="N65" s="8">
        <f>SUM(B65:M65)/12</f>
        <v>32.916666666666664</v>
      </c>
    </row>
    <row r="66" spans="1:15" x14ac:dyDescent="0.25">
      <c r="A66" s="305" t="s">
        <v>16</v>
      </c>
      <c r="B66" s="44">
        <f>4-1</f>
        <v>3</v>
      </c>
      <c r="C66" s="44">
        <v>3</v>
      </c>
      <c r="D66" s="44">
        <v>3</v>
      </c>
      <c r="E66" s="44">
        <v>3</v>
      </c>
      <c r="F66" s="44">
        <v>3</v>
      </c>
      <c r="G66" s="44">
        <v>3</v>
      </c>
      <c r="H66" s="44">
        <v>3</v>
      </c>
      <c r="I66" s="44">
        <v>3</v>
      </c>
      <c r="J66" s="44">
        <v>3</v>
      </c>
      <c r="K66" s="44">
        <v>3</v>
      </c>
      <c r="L66" s="44">
        <v>3</v>
      </c>
      <c r="M66" s="44">
        <v>3</v>
      </c>
      <c r="N66" s="10">
        <f>SUM(B66:M66)/12</f>
        <v>3</v>
      </c>
    </row>
    <row r="67" spans="1:15" x14ac:dyDescent="0.25">
      <c r="A67" s="305" t="s">
        <v>17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10">
        <f>SUM(B67:M67)/12</f>
        <v>0</v>
      </c>
    </row>
    <row r="68" spans="1:15" x14ac:dyDescent="0.25">
      <c r="A68" s="305"/>
      <c r="B68" s="11"/>
      <c r="C68" s="11"/>
      <c r="D68" s="11"/>
      <c r="E68" s="11"/>
      <c r="F68" s="11"/>
      <c r="G68" s="11"/>
      <c r="H68" s="9"/>
      <c r="I68" s="11"/>
      <c r="J68" s="11"/>
      <c r="K68" s="11"/>
      <c r="L68" s="11"/>
      <c r="M68" s="11"/>
      <c r="N68" s="12"/>
    </row>
    <row r="69" spans="1:15" x14ac:dyDescent="0.25">
      <c r="A69" s="303" t="s">
        <v>62</v>
      </c>
      <c r="B69" s="4">
        <f>B65+(B67*1.5)+(B66*0.8)</f>
        <v>25.4</v>
      </c>
      <c r="C69" s="4">
        <f>C65+(C67*1.5)+(C66*0.8)</f>
        <v>27.4</v>
      </c>
      <c r="D69" s="4">
        <f>D65+(D67*1.5)+(D66*0.8)</f>
        <v>31.4</v>
      </c>
      <c r="E69" s="4">
        <f>E65+(E67*1.5)+(E66*0.8)</f>
        <v>33.4</v>
      </c>
      <c r="F69" s="4">
        <f>F65+(F67*1.5)+(F66*0.8)</f>
        <v>33.4</v>
      </c>
      <c r="G69" s="4">
        <f t="shared" ref="G69:M69" si="4">G65+(G67*1.5)+(G66*0.8)</f>
        <v>33.4</v>
      </c>
      <c r="H69" s="4">
        <f t="shared" si="4"/>
        <v>35.4</v>
      </c>
      <c r="I69" s="4">
        <f t="shared" si="4"/>
        <v>36.4</v>
      </c>
      <c r="J69" s="4">
        <f t="shared" si="4"/>
        <v>38.4</v>
      </c>
      <c r="K69" s="4">
        <f t="shared" si="4"/>
        <v>40.4</v>
      </c>
      <c r="L69" s="4">
        <f t="shared" si="4"/>
        <v>42.4</v>
      </c>
      <c r="M69" s="4">
        <f t="shared" si="4"/>
        <v>46.4</v>
      </c>
      <c r="N69" s="10">
        <f>SUM(B69:M69)/12</f>
        <v>35.316666666666656</v>
      </c>
    </row>
    <row r="70" spans="1:15" x14ac:dyDescent="0.25">
      <c r="A70" s="107" t="s">
        <v>19</v>
      </c>
      <c r="B70" s="104">
        <v>1</v>
      </c>
      <c r="C70" s="95">
        <v>1</v>
      </c>
      <c r="D70" s="95">
        <v>1</v>
      </c>
      <c r="E70" s="95">
        <v>2</v>
      </c>
      <c r="F70" s="95">
        <v>0</v>
      </c>
      <c r="G70" s="95">
        <v>0</v>
      </c>
      <c r="H70" s="95">
        <v>1</v>
      </c>
      <c r="I70" s="95">
        <v>0</v>
      </c>
      <c r="J70" s="95">
        <v>0</v>
      </c>
      <c r="K70" s="95">
        <v>1</v>
      </c>
      <c r="L70" s="95">
        <v>2</v>
      </c>
      <c r="M70" s="95">
        <v>0</v>
      </c>
      <c r="N70" s="109">
        <f>SUM(B70:L70)</f>
        <v>9</v>
      </c>
    </row>
    <row r="71" spans="1:15" x14ac:dyDescent="0.25">
      <c r="B71" s="54" t="s">
        <v>120</v>
      </c>
      <c r="C71" s="54"/>
    </row>
    <row r="72" spans="1:15" x14ac:dyDescent="0.25">
      <c r="B72" s="54" t="s">
        <v>70</v>
      </c>
      <c r="C72" s="337"/>
      <c r="D72" s="27"/>
      <c r="E72" s="27"/>
      <c r="F72" s="27"/>
      <c r="G72" s="350"/>
      <c r="H72" s="350"/>
      <c r="I72" s="350"/>
      <c r="J72" s="350"/>
      <c r="K72" s="350"/>
      <c r="L72" s="350"/>
      <c r="M72" s="350"/>
      <c r="N72" s="27"/>
    </row>
    <row r="73" spans="1:15" x14ac:dyDescent="0.25">
      <c r="A73" s="355" t="s">
        <v>155</v>
      </c>
      <c r="B73" s="354">
        <v>2</v>
      </c>
      <c r="C73" s="349">
        <v>1</v>
      </c>
      <c r="D73" s="349">
        <v>3</v>
      </c>
      <c r="E73" s="349">
        <v>0</v>
      </c>
      <c r="F73" s="349">
        <v>0</v>
      </c>
      <c r="G73" s="353">
        <v>0</v>
      </c>
      <c r="H73" s="353">
        <v>1</v>
      </c>
      <c r="I73" s="353">
        <v>1</v>
      </c>
      <c r="J73" s="353">
        <v>2</v>
      </c>
      <c r="K73" s="353">
        <v>1</v>
      </c>
      <c r="L73" s="353">
        <v>0</v>
      </c>
      <c r="M73" s="353">
        <v>4</v>
      </c>
      <c r="N73">
        <f>SUM(B73:M73)</f>
        <v>15</v>
      </c>
    </row>
    <row r="74" spans="1:15" x14ac:dyDescent="0.25">
      <c r="A74" t="s">
        <v>153</v>
      </c>
    </row>
    <row r="75" spans="1:15" x14ac:dyDescent="0.25">
      <c r="A75" t="s">
        <v>144</v>
      </c>
    </row>
    <row r="77" spans="1:15" x14ac:dyDescent="0.25">
      <c r="A77" s="328" t="s">
        <v>125</v>
      </c>
      <c r="B77" s="329"/>
      <c r="C77" s="329"/>
      <c r="D77" s="329"/>
      <c r="E77" s="329"/>
      <c r="F77" s="329"/>
      <c r="G77" s="329"/>
      <c r="H77" s="93"/>
      <c r="I77" s="93"/>
      <c r="J77" s="93"/>
      <c r="K77" s="93"/>
      <c r="L77" s="93"/>
      <c r="M77" s="93"/>
      <c r="N77" s="93"/>
      <c r="O77" s="93"/>
    </row>
    <row r="78" spans="1:15" x14ac:dyDescent="0.25">
      <c r="A78" s="325" t="s">
        <v>67</v>
      </c>
      <c r="B78" s="326" t="s">
        <v>2</v>
      </c>
      <c r="C78" s="326" t="s">
        <v>3</v>
      </c>
      <c r="D78" s="326" t="s">
        <v>4</v>
      </c>
      <c r="E78" s="304" t="s">
        <v>5</v>
      </c>
      <c r="F78" s="304" t="s">
        <v>6</v>
      </c>
      <c r="G78" s="304" t="s">
        <v>7</v>
      </c>
      <c r="H78" s="304" t="s">
        <v>8</v>
      </c>
      <c r="I78" s="304" t="s">
        <v>9</v>
      </c>
      <c r="J78" s="304" t="s">
        <v>10</v>
      </c>
      <c r="K78" s="304" t="s">
        <v>11</v>
      </c>
      <c r="L78" s="304" t="s">
        <v>12</v>
      </c>
      <c r="M78" s="304" t="s">
        <v>13</v>
      </c>
      <c r="N78" s="305" t="s">
        <v>14</v>
      </c>
      <c r="O78" s="93"/>
    </row>
    <row r="79" spans="1:15" x14ac:dyDescent="0.25">
      <c r="A79" s="327"/>
      <c r="B79" s="327"/>
      <c r="C79" s="327"/>
      <c r="D79" s="327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93"/>
    </row>
    <row r="80" spans="1:15" x14ac:dyDescent="0.25">
      <c r="A80" s="327" t="s">
        <v>15</v>
      </c>
      <c r="B80" s="321">
        <f>30+1</f>
        <v>31</v>
      </c>
      <c r="C80" s="41">
        <f>31+3-2-0.75</f>
        <v>31.25</v>
      </c>
      <c r="D80" s="41">
        <f>31</f>
        <v>31</v>
      </c>
      <c r="E80" s="318">
        <f>31-1</f>
        <v>30</v>
      </c>
      <c r="F80" s="318">
        <v>28.5</v>
      </c>
      <c r="G80" s="319">
        <v>30</v>
      </c>
      <c r="H80" s="318">
        <v>30</v>
      </c>
      <c r="I80" s="318">
        <v>30</v>
      </c>
      <c r="J80" s="318">
        <v>31</v>
      </c>
      <c r="K80" s="318">
        <v>32</v>
      </c>
      <c r="L80" s="318">
        <v>32</v>
      </c>
      <c r="M80" s="320">
        <v>33</v>
      </c>
      <c r="N80" s="8">
        <f>SUM(B80:M80)/12</f>
        <v>30.8125</v>
      </c>
      <c r="O80" s="93"/>
    </row>
    <row r="81" spans="1:15" x14ac:dyDescent="0.25">
      <c r="A81" s="327" t="s">
        <v>16</v>
      </c>
      <c r="B81" s="43">
        <f>3+1</f>
        <v>4</v>
      </c>
      <c r="C81" s="43">
        <v>4</v>
      </c>
      <c r="D81" s="43">
        <v>4</v>
      </c>
      <c r="E81" s="44">
        <v>4</v>
      </c>
      <c r="F81" s="44">
        <v>4</v>
      </c>
      <c r="G81" s="44">
        <v>4</v>
      </c>
      <c r="H81" s="44">
        <v>4</v>
      </c>
      <c r="I81" s="44">
        <v>4</v>
      </c>
      <c r="J81" s="44">
        <v>4</v>
      </c>
      <c r="K81" s="44">
        <v>4</v>
      </c>
      <c r="L81" s="44">
        <v>4</v>
      </c>
      <c r="M81" s="11">
        <v>4</v>
      </c>
      <c r="N81" s="10">
        <f>SUM(B81:M81)/12</f>
        <v>4</v>
      </c>
      <c r="O81" s="93"/>
    </row>
    <row r="82" spans="1:15" x14ac:dyDescent="0.25">
      <c r="A82" s="327" t="s">
        <v>17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11"/>
      <c r="N82" s="10">
        <f>SUM(B82:M82)/12</f>
        <v>0</v>
      </c>
      <c r="O82" s="93"/>
    </row>
    <row r="83" spans="1:15" x14ac:dyDescent="0.25">
      <c r="A83" s="305"/>
      <c r="B83" s="11"/>
      <c r="C83" s="11"/>
      <c r="D83" s="11"/>
      <c r="E83" s="11"/>
      <c r="F83" s="11"/>
      <c r="G83" s="11"/>
      <c r="H83" s="9"/>
      <c r="I83" s="11"/>
      <c r="J83" s="11"/>
      <c r="K83" s="11"/>
      <c r="L83" s="11"/>
      <c r="M83" s="11"/>
      <c r="N83" s="12"/>
      <c r="O83" s="94"/>
    </row>
    <row r="84" spans="1:15" x14ac:dyDescent="0.25">
      <c r="A84" s="303" t="s">
        <v>18</v>
      </c>
      <c r="B84" s="4">
        <f>B80+(B82*1.5)+(B81*0.8)</f>
        <v>34.200000000000003</v>
      </c>
      <c r="C84" s="4">
        <f>C80+(C82*1.5)+(C81*0.8)</f>
        <v>34.450000000000003</v>
      </c>
      <c r="D84" s="4">
        <f>D80+(D82*1.5)+(D81*0.8)</f>
        <v>34.200000000000003</v>
      </c>
      <c r="E84" s="4">
        <f>E80+(E82*1.5)+(E81*0.8)</f>
        <v>33.200000000000003</v>
      </c>
      <c r="F84" s="4">
        <f>F80+(F82*1.5)+(F81*0.8)</f>
        <v>31.7</v>
      </c>
      <c r="G84" s="4">
        <f t="shared" ref="G84:M84" si="5">G80+(G82*1.5)+(G81*0.8)</f>
        <v>33.200000000000003</v>
      </c>
      <c r="H84" s="4">
        <f t="shared" si="5"/>
        <v>33.200000000000003</v>
      </c>
      <c r="I84" s="4">
        <f t="shared" si="5"/>
        <v>33.200000000000003</v>
      </c>
      <c r="J84" s="4">
        <f t="shared" si="5"/>
        <v>34.200000000000003</v>
      </c>
      <c r="K84" s="4">
        <f t="shared" si="5"/>
        <v>35.200000000000003</v>
      </c>
      <c r="L84" s="4">
        <f t="shared" si="5"/>
        <v>35.200000000000003</v>
      </c>
      <c r="M84" s="4">
        <f t="shared" si="5"/>
        <v>36.200000000000003</v>
      </c>
      <c r="N84" s="10">
        <f>SUM(B84:M84)/12</f>
        <v>34.012499999999996</v>
      </c>
      <c r="O84" s="93"/>
    </row>
    <row r="85" spans="1:15" x14ac:dyDescent="0.25">
      <c r="A85" s="107" t="s">
        <v>19</v>
      </c>
      <c r="B85" s="104">
        <v>2</v>
      </c>
      <c r="C85" s="95">
        <v>3</v>
      </c>
      <c r="D85" s="95">
        <v>0</v>
      </c>
      <c r="E85" s="95">
        <v>0</v>
      </c>
      <c r="F85" s="95">
        <v>0</v>
      </c>
      <c r="G85" s="95">
        <v>1</v>
      </c>
      <c r="H85" s="95">
        <v>0</v>
      </c>
      <c r="I85" s="95">
        <v>0</v>
      </c>
      <c r="J85" s="95">
        <v>0</v>
      </c>
      <c r="K85" s="95">
        <v>1</v>
      </c>
      <c r="L85" s="95">
        <v>0</v>
      </c>
      <c r="M85" s="95">
        <v>0</v>
      </c>
      <c r="N85" s="109">
        <v>7</v>
      </c>
      <c r="O85" s="93"/>
    </row>
    <row r="86" spans="1:15" x14ac:dyDescent="0.25">
      <c r="A86" s="91"/>
      <c r="B86" s="104" t="s">
        <v>70</v>
      </c>
      <c r="C86" s="95" t="s">
        <v>69</v>
      </c>
      <c r="D86" s="112" t="s">
        <v>72</v>
      </c>
      <c r="E86" s="95"/>
      <c r="F86" s="95"/>
      <c r="G86" s="95"/>
      <c r="H86" s="95"/>
      <c r="I86" s="95"/>
      <c r="J86" s="95"/>
      <c r="K86" s="95"/>
      <c r="L86" s="95"/>
      <c r="M86" s="95"/>
      <c r="N86" s="90"/>
      <c r="O86" s="93"/>
    </row>
    <row r="87" spans="1:15" x14ac:dyDescent="0.25">
      <c r="A87" s="91"/>
      <c r="B87" s="104"/>
      <c r="C87" s="95" t="s">
        <v>71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0"/>
    </row>
    <row r="88" spans="1:15" x14ac:dyDescent="0.25">
      <c r="E88" s="317" t="s">
        <v>126</v>
      </c>
      <c r="F88" s="113"/>
      <c r="G88" s="113">
        <v>1</v>
      </c>
      <c r="H88" s="113"/>
      <c r="I88" s="113"/>
      <c r="J88" s="113">
        <v>1</v>
      </c>
      <c r="K88" s="113"/>
      <c r="L88" s="113"/>
      <c r="M88" s="113">
        <v>1</v>
      </c>
      <c r="N88" s="113"/>
    </row>
    <row r="89" spans="1:15" x14ac:dyDescent="0.25">
      <c r="A89" s="91"/>
      <c r="B89" s="104"/>
      <c r="C89" s="95"/>
      <c r="D89" s="95"/>
      <c r="E89" s="95"/>
      <c r="F89" s="95"/>
      <c r="G89" s="95" t="s">
        <v>143</v>
      </c>
      <c r="H89" s="95"/>
      <c r="I89" s="95"/>
      <c r="J89" s="95"/>
      <c r="K89" s="95"/>
      <c r="L89" s="95"/>
      <c r="M89" s="95"/>
      <c r="N89" s="90"/>
      <c r="O89" s="93"/>
    </row>
  </sheetData>
  <pageMargins left="0" right="0" top="0.35433070866141736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workbookViewId="0">
      <selection activeCell="N28" sqref="N28"/>
    </sheetView>
  </sheetViews>
  <sheetFormatPr defaultRowHeight="15" x14ac:dyDescent="0.25"/>
  <sheetData>
    <row r="2" spans="1:19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 x14ac:dyDescent="0.25">
      <c r="A3" s="84"/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19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19" x14ac:dyDescent="0.25">
      <c r="A5" s="86" t="s">
        <v>15</v>
      </c>
      <c r="B5" s="32">
        <f>77+1+0.5</f>
        <v>78.5</v>
      </c>
      <c r="C5" s="58">
        <f>79-0.5</f>
        <v>78.5</v>
      </c>
      <c r="D5" s="58">
        <f>78</f>
        <v>78</v>
      </c>
      <c r="E5" s="58">
        <v>83</v>
      </c>
      <c r="F5" s="58">
        <v>85</v>
      </c>
      <c r="G5" s="386">
        <v>87</v>
      </c>
      <c r="H5" s="58">
        <v>87</v>
      </c>
      <c r="I5" s="58">
        <f>87+4</f>
        <v>91</v>
      </c>
      <c r="J5" s="58">
        <f>91+4-1</f>
        <v>94</v>
      </c>
      <c r="K5" s="41">
        <f>95-1+2</f>
        <v>96</v>
      </c>
      <c r="L5" s="41">
        <f>96+3</f>
        <v>99</v>
      </c>
      <c r="M5" s="4">
        <f>99+4</f>
        <v>103</v>
      </c>
      <c r="N5" s="8">
        <f>SUM(B5:M5)/12</f>
        <v>88.333333333333329</v>
      </c>
      <c r="O5" s="66"/>
    </row>
    <row r="6" spans="1:19" x14ac:dyDescent="0.25">
      <c r="A6" s="86" t="s">
        <v>16</v>
      </c>
      <c r="B6" s="33">
        <v>1</v>
      </c>
      <c r="C6" s="33">
        <v>1</v>
      </c>
      <c r="D6" s="33">
        <v>1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43">
        <v>1</v>
      </c>
      <c r="L6" s="43">
        <v>1</v>
      </c>
      <c r="M6" s="9">
        <v>1</v>
      </c>
      <c r="N6" s="10">
        <f>SUM(B6:M6)/12</f>
        <v>1</v>
      </c>
      <c r="O6" s="66"/>
    </row>
    <row r="7" spans="1:19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>
        <v>0.5</v>
      </c>
      <c r="J7" s="34">
        <v>1</v>
      </c>
      <c r="K7" s="44"/>
      <c r="L7" s="44"/>
      <c r="M7" s="11"/>
      <c r="N7" s="10">
        <f>SUM(B7:M7)/12</f>
        <v>0.125</v>
      </c>
      <c r="O7" s="66"/>
    </row>
    <row r="8" spans="1:19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19" x14ac:dyDescent="0.25">
      <c r="A9" s="84" t="s">
        <v>18</v>
      </c>
      <c r="B9" s="4">
        <f>B5+(B7*1.5)+(B6*0.8)</f>
        <v>79.3</v>
      </c>
      <c r="C9" s="4">
        <f>C5+(C7*1.5)+(C6*0.8)</f>
        <v>79.3</v>
      </c>
      <c r="D9" s="4">
        <f>D5+(D7*1.5)+(D6*0.8)</f>
        <v>78.8</v>
      </c>
      <c r="E9" s="4">
        <f>E5+(E7*1.5)+(E6*0.8)</f>
        <v>83.8</v>
      </c>
      <c r="F9" s="4">
        <f>F5+(F7*1.5)+(F6*0.8)</f>
        <v>85.8</v>
      </c>
      <c r="G9" s="4">
        <f t="shared" ref="G9:M9" si="0">G5+(G7*1.5)+(G6*0.8)</f>
        <v>87.8</v>
      </c>
      <c r="H9" s="4">
        <f t="shared" si="0"/>
        <v>87.8</v>
      </c>
      <c r="I9" s="4">
        <f t="shared" si="0"/>
        <v>92.55</v>
      </c>
      <c r="J9" s="4">
        <f t="shared" si="0"/>
        <v>96.3</v>
      </c>
      <c r="K9" s="4">
        <f t="shared" si="0"/>
        <v>96.8</v>
      </c>
      <c r="L9" s="4">
        <f t="shared" si="0"/>
        <v>99.8</v>
      </c>
      <c r="M9" s="4">
        <f t="shared" si="0"/>
        <v>103.8</v>
      </c>
      <c r="N9" s="10">
        <f>SUM(B9:M9)/12</f>
        <v>89.320833333333326</v>
      </c>
      <c r="O9" s="66"/>
    </row>
    <row r="10" spans="1:19" x14ac:dyDescent="0.25">
      <c r="A10" s="81" t="s">
        <v>19</v>
      </c>
      <c r="B10" s="104">
        <v>2</v>
      </c>
      <c r="C10" s="95">
        <v>0</v>
      </c>
      <c r="D10" s="95">
        <v>0</v>
      </c>
      <c r="E10" s="95">
        <v>5</v>
      </c>
      <c r="F10" s="95">
        <v>2</v>
      </c>
      <c r="G10" s="95">
        <v>2</v>
      </c>
      <c r="H10" s="95">
        <v>0</v>
      </c>
      <c r="I10" s="95">
        <v>5</v>
      </c>
      <c r="J10" s="95">
        <v>4</v>
      </c>
      <c r="K10" s="95">
        <v>2</v>
      </c>
      <c r="L10" s="95">
        <v>3</v>
      </c>
      <c r="M10" s="95">
        <v>4</v>
      </c>
      <c r="N10" s="82">
        <f>SUM(B10:M10)</f>
        <v>29</v>
      </c>
      <c r="O10" s="66"/>
    </row>
    <row r="11" spans="1:19" x14ac:dyDescent="0.25">
      <c r="B11" s="112" t="s">
        <v>117</v>
      </c>
      <c r="C11" s="112" t="s">
        <v>116</v>
      </c>
      <c r="D11" s="112"/>
      <c r="E11" s="112"/>
      <c r="F11" s="112"/>
      <c r="G11" s="112"/>
      <c r="H11" s="112"/>
      <c r="I11" s="112" t="s">
        <v>304</v>
      </c>
      <c r="J11" s="112" t="s">
        <v>101</v>
      </c>
      <c r="K11" s="112"/>
      <c r="L11" s="112"/>
      <c r="M11" s="112"/>
    </row>
    <row r="12" spans="1:19" x14ac:dyDescent="0.25">
      <c r="I12" s="112" t="s">
        <v>65</v>
      </c>
    </row>
    <row r="14" spans="1:19" x14ac:dyDescent="0.25">
      <c r="A14" s="166" t="s">
        <v>76</v>
      </c>
      <c r="B14" s="167"/>
      <c r="C14" s="167"/>
      <c r="D14" s="16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64"/>
      <c r="Q14" s="164"/>
      <c r="R14" s="164"/>
      <c r="S14" s="164"/>
    </row>
    <row r="15" spans="1:19" x14ac:dyDescent="0.25">
      <c r="A15" s="151"/>
      <c r="B15" s="152" t="s">
        <v>2</v>
      </c>
      <c r="C15" s="152" t="s">
        <v>3</v>
      </c>
      <c r="D15" s="152" t="s">
        <v>4</v>
      </c>
      <c r="E15" s="152" t="s">
        <v>5</v>
      </c>
      <c r="F15" s="152" t="s">
        <v>6</v>
      </c>
      <c r="G15" s="152" t="s">
        <v>7</v>
      </c>
      <c r="H15" s="152" t="s">
        <v>8</v>
      </c>
      <c r="I15" s="152" t="s">
        <v>9</v>
      </c>
      <c r="J15" s="152" t="s">
        <v>10</v>
      </c>
      <c r="K15" s="152" t="s">
        <v>11</v>
      </c>
      <c r="L15" s="152" t="s">
        <v>12</v>
      </c>
      <c r="M15" s="152" t="s">
        <v>13</v>
      </c>
      <c r="N15" s="153" t="s">
        <v>14</v>
      </c>
      <c r="O15" s="148"/>
      <c r="P15" s="165"/>
      <c r="Q15" s="164"/>
      <c r="R15" s="164"/>
      <c r="S15" s="164"/>
    </row>
    <row r="16" spans="1:19" x14ac:dyDescent="0.2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48"/>
      <c r="P16" s="164"/>
      <c r="Q16" s="164"/>
      <c r="R16" s="164"/>
      <c r="S16" s="164"/>
    </row>
    <row r="17" spans="1:19" x14ac:dyDescent="0.25">
      <c r="A17" s="153" t="s">
        <v>15</v>
      </c>
      <c r="B17" s="161">
        <v>78</v>
      </c>
      <c r="C17" s="161">
        <v>78</v>
      </c>
      <c r="D17" s="161">
        <v>78</v>
      </c>
      <c r="E17" s="161">
        <v>80</v>
      </c>
      <c r="F17" s="161">
        <v>82</v>
      </c>
      <c r="G17" s="162">
        <v>84</v>
      </c>
      <c r="H17" s="160">
        <v>84</v>
      </c>
      <c r="I17" s="159">
        <v>88</v>
      </c>
      <c r="J17" s="159">
        <v>92</v>
      </c>
      <c r="K17" s="159">
        <v>95</v>
      </c>
      <c r="L17" s="159">
        <v>97</v>
      </c>
      <c r="M17" s="159">
        <v>101</v>
      </c>
      <c r="N17" s="155">
        <v>86.416666666666671</v>
      </c>
      <c r="O17" s="148"/>
      <c r="P17" s="164"/>
      <c r="Q17" s="164"/>
      <c r="R17" s="164"/>
      <c r="S17" s="164"/>
    </row>
    <row r="18" spans="1:19" x14ac:dyDescent="0.25">
      <c r="A18" s="153" t="s">
        <v>16</v>
      </c>
      <c r="B18" s="161">
        <v>2</v>
      </c>
      <c r="C18" s="161">
        <v>2</v>
      </c>
      <c r="D18" s="161">
        <v>2</v>
      </c>
      <c r="E18" s="161">
        <v>2</v>
      </c>
      <c r="F18" s="161">
        <v>2</v>
      </c>
      <c r="G18" s="161">
        <v>2</v>
      </c>
      <c r="H18" s="154">
        <v>2</v>
      </c>
      <c r="I18" s="154">
        <v>2</v>
      </c>
      <c r="J18" s="154">
        <v>2</v>
      </c>
      <c r="K18" s="154">
        <v>2</v>
      </c>
      <c r="L18" s="154">
        <v>2</v>
      </c>
      <c r="M18" s="154">
        <v>2</v>
      </c>
      <c r="N18" s="157">
        <v>2</v>
      </c>
      <c r="O18" s="148"/>
      <c r="P18" s="164"/>
      <c r="Q18" s="164"/>
      <c r="R18" s="164"/>
      <c r="S18" s="164"/>
    </row>
    <row r="19" spans="1:19" x14ac:dyDescent="0.25">
      <c r="A19" s="153" t="s">
        <v>17</v>
      </c>
      <c r="B19" s="156"/>
      <c r="C19" s="156"/>
      <c r="D19" s="156"/>
      <c r="E19" s="156"/>
      <c r="F19" s="156"/>
      <c r="G19" s="154"/>
      <c r="H19" s="154"/>
      <c r="I19" s="154"/>
      <c r="J19" s="154"/>
      <c r="K19" s="154"/>
      <c r="L19" s="154"/>
      <c r="M19" s="154"/>
      <c r="N19" s="157">
        <v>0</v>
      </c>
      <c r="O19" s="148"/>
      <c r="P19" s="148"/>
      <c r="Q19" s="148"/>
      <c r="R19" s="148"/>
      <c r="S19" s="148"/>
    </row>
    <row r="20" spans="1:19" x14ac:dyDescent="0.25">
      <c r="A20" s="153"/>
      <c r="B20" s="154"/>
      <c r="C20" s="154"/>
      <c r="D20" s="154"/>
      <c r="E20" s="154"/>
      <c r="F20" s="154"/>
      <c r="G20" s="154"/>
      <c r="H20" s="156"/>
      <c r="I20" s="154"/>
      <c r="J20" s="154"/>
      <c r="K20" s="154"/>
      <c r="L20" s="154"/>
      <c r="M20" s="154"/>
      <c r="N20" s="158"/>
      <c r="O20" s="148"/>
      <c r="P20" s="148"/>
      <c r="Q20" s="148"/>
      <c r="R20" s="148"/>
      <c r="S20" s="148"/>
    </row>
    <row r="21" spans="1:19" x14ac:dyDescent="0.25">
      <c r="A21" s="151" t="s">
        <v>18</v>
      </c>
      <c r="B21" s="156">
        <v>79.599999999999994</v>
      </c>
      <c r="C21" s="156">
        <v>79.599999999999994</v>
      </c>
      <c r="D21" s="156">
        <v>79.599999999999994</v>
      </c>
      <c r="E21" s="156">
        <v>81.599999999999994</v>
      </c>
      <c r="F21" s="156">
        <v>83.6</v>
      </c>
      <c r="G21" s="156">
        <v>85.6</v>
      </c>
      <c r="H21" s="156">
        <v>85.6</v>
      </c>
      <c r="I21" s="156">
        <v>89.6</v>
      </c>
      <c r="J21" s="156">
        <v>93.6</v>
      </c>
      <c r="K21" s="156">
        <v>96.6</v>
      </c>
      <c r="L21" s="156">
        <v>98.6</v>
      </c>
      <c r="M21" s="156">
        <v>102.6</v>
      </c>
      <c r="N21" s="157">
        <v>88.016666666666666</v>
      </c>
      <c r="O21" s="148"/>
      <c r="P21" s="148"/>
      <c r="Q21" s="148"/>
      <c r="R21" s="148"/>
      <c r="S21" s="148"/>
    </row>
    <row r="22" spans="1:19" x14ac:dyDescent="0.25">
      <c r="A22" s="149"/>
      <c r="B22" s="150">
        <v>2</v>
      </c>
      <c r="C22" s="150">
        <v>0</v>
      </c>
      <c r="D22" s="150">
        <v>0</v>
      </c>
      <c r="E22" s="150">
        <v>2</v>
      </c>
      <c r="F22" s="150">
        <v>2</v>
      </c>
      <c r="G22" s="150">
        <v>2</v>
      </c>
      <c r="H22" s="150">
        <v>0</v>
      </c>
      <c r="I22" s="150">
        <v>4</v>
      </c>
      <c r="J22" s="150">
        <v>4</v>
      </c>
      <c r="K22" s="150">
        <v>3</v>
      </c>
      <c r="L22" s="150">
        <v>2</v>
      </c>
      <c r="M22" s="150">
        <v>4</v>
      </c>
      <c r="N22" s="157">
        <v>25</v>
      </c>
    </row>
    <row r="23" spans="1:19" x14ac:dyDescent="0.25">
      <c r="A23" s="148"/>
      <c r="B23" s="163" t="s">
        <v>77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9" x14ac:dyDescent="0.25">
      <c r="A24" s="298"/>
      <c r="B24" s="241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</row>
    <row r="25" spans="1:19" x14ac:dyDescent="0.25">
      <c r="A25" s="400" t="s">
        <v>292</v>
      </c>
      <c r="B25" s="400"/>
      <c r="C25" s="400"/>
      <c r="D25" s="400"/>
    </row>
    <row r="26" spans="1:19" s="2" customFormat="1" x14ac:dyDescent="0.25">
      <c r="A26" s="3"/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5" t="s">
        <v>14</v>
      </c>
    </row>
    <row r="27" spans="1:19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9" s="2" customFormat="1" x14ac:dyDescent="0.25">
      <c r="A28" s="5" t="s">
        <v>15</v>
      </c>
      <c r="B28" s="6">
        <f>103-27+2</f>
        <v>78</v>
      </c>
      <c r="C28" s="4">
        <v>82</v>
      </c>
      <c r="D28" s="4">
        <v>83</v>
      </c>
      <c r="E28" s="4">
        <v>84</v>
      </c>
      <c r="F28" s="4">
        <v>84</v>
      </c>
      <c r="G28" s="7">
        <v>84</v>
      </c>
      <c r="H28" s="4">
        <v>85</v>
      </c>
      <c r="I28" s="4">
        <v>85</v>
      </c>
      <c r="J28" s="4">
        <v>87</v>
      </c>
      <c r="K28" s="4">
        <v>89</v>
      </c>
      <c r="L28" s="4">
        <v>91</v>
      </c>
      <c r="M28" s="4">
        <v>93</v>
      </c>
      <c r="N28" s="8">
        <f>SUM(B28:M28)/12</f>
        <v>85.416666666666671</v>
      </c>
    </row>
    <row r="29" spans="1:19" s="2" customFormat="1" x14ac:dyDescent="0.25">
      <c r="A29" s="5" t="s">
        <v>16</v>
      </c>
      <c r="B29" s="9">
        <f>1-1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>SUM(B29:M29)/12</f>
        <v>0</v>
      </c>
    </row>
    <row r="30" spans="1:19" s="2" customFormat="1" x14ac:dyDescent="0.25">
      <c r="A30" s="5" t="s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f>SUM(B30:M30)/12</f>
        <v>0</v>
      </c>
    </row>
    <row r="31" spans="1:19" s="2" customFormat="1" x14ac:dyDescent="0.25">
      <c r="A31" s="5"/>
      <c r="B31" s="11"/>
      <c r="C31" s="11"/>
      <c r="D31" s="11"/>
      <c r="E31" s="11"/>
      <c r="F31" s="11"/>
      <c r="G31" s="11"/>
      <c r="H31" s="9"/>
      <c r="I31" s="11"/>
      <c r="J31" s="11"/>
      <c r="K31" s="11"/>
      <c r="L31" s="11"/>
      <c r="M31" s="11"/>
      <c r="N31" s="12"/>
      <c r="O31" s="13"/>
    </row>
    <row r="32" spans="1:19" s="2" customFormat="1" x14ac:dyDescent="0.25">
      <c r="A32" s="3" t="s">
        <v>62</v>
      </c>
      <c r="B32" s="4">
        <f>B28+(B30*1.5)+(B29*0.8)</f>
        <v>78</v>
      </c>
      <c r="C32" s="4">
        <f>C28+(C30*1.5)+(C29*0.8)</f>
        <v>82</v>
      </c>
      <c r="D32" s="4">
        <f>D28+(D30*1.5)+(D29*0.8)</f>
        <v>83</v>
      </c>
      <c r="E32" s="4">
        <f>E28+(E30*1.5)+(E29*0.8)</f>
        <v>84</v>
      </c>
      <c r="F32" s="4">
        <f>F28+(F30*1.5)+(F29*0.8)</f>
        <v>84</v>
      </c>
      <c r="G32" s="4">
        <f t="shared" ref="G32:M32" si="1">G28+(G30*1.5)+(G29*0.8)</f>
        <v>84</v>
      </c>
      <c r="H32" s="4">
        <f t="shared" si="1"/>
        <v>85</v>
      </c>
      <c r="I32" s="4">
        <f t="shared" si="1"/>
        <v>85</v>
      </c>
      <c r="J32" s="4">
        <f t="shared" si="1"/>
        <v>87</v>
      </c>
      <c r="K32" s="4">
        <f t="shared" si="1"/>
        <v>89</v>
      </c>
      <c r="L32" s="4">
        <f t="shared" si="1"/>
        <v>91</v>
      </c>
      <c r="M32" s="4">
        <f t="shared" si="1"/>
        <v>93</v>
      </c>
      <c r="N32" s="10">
        <f>SUM(B32:M32)/12</f>
        <v>85.416666666666671</v>
      </c>
    </row>
    <row r="33" spans="1:15" s="2" customFormat="1" x14ac:dyDescent="0.25">
      <c r="A33" s="14" t="s">
        <v>19</v>
      </c>
      <c r="B33" s="15">
        <v>2</v>
      </c>
      <c r="C33" s="16">
        <v>4</v>
      </c>
      <c r="D33" s="16">
        <v>1</v>
      </c>
      <c r="E33" s="16">
        <v>1</v>
      </c>
      <c r="F33" s="16">
        <v>0</v>
      </c>
      <c r="G33" s="16">
        <v>0</v>
      </c>
      <c r="H33" s="16">
        <v>1</v>
      </c>
      <c r="I33" s="16">
        <v>0</v>
      </c>
      <c r="J33" s="16">
        <v>2</v>
      </c>
      <c r="K33" s="16">
        <v>2</v>
      </c>
      <c r="L33" s="16">
        <v>2</v>
      </c>
      <c r="M33" s="16">
        <v>2</v>
      </c>
      <c r="N33" s="17">
        <f>SUM(B33:M33)</f>
        <v>17</v>
      </c>
      <c r="O33" s="16"/>
    </row>
    <row r="34" spans="1:15" x14ac:dyDescent="0.25">
      <c r="A34" s="298"/>
      <c r="B34" s="241" t="s">
        <v>305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</row>
    <row r="35" spans="1:15" x14ac:dyDescent="0.25">
      <c r="B35" t="s">
        <v>70</v>
      </c>
    </row>
    <row r="36" spans="1:15" x14ac:dyDescent="0.25">
      <c r="A36" s="358" t="s">
        <v>160</v>
      </c>
      <c r="B36" s="358"/>
      <c r="C36" s="358"/>
      <c r="D36" s="358"/>
    </row>
    <row r="37" spans="1:15" s="2" customFormat="1" x14ac:dyDescent="0.25">
      <c r="A37" s="3"/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5" t="s">
        <v>14</v>
      </c>
    </row>
    <row r="38" spans="1:15" s="2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5" s="2" customFormat="1" x14ac:dyDescent="0.25">
      <c r="A39" s="5" t="s">
        <v>15</v>
      </c>
      <c r="B39" s="6">
        <f>101-25+4</f>
        <v>80</v>
      </c>
      <c r="C39" s="4">
        <v>84</v>
      </c>
      <c r="D39" s="4">
        <v>85</v>
      </c>
      <c r="E39" s="4">
        <v>86</v>
      </c>
      <c r="F39" s="4">
        <v>86</v>
      </c>
      <c r="G39" s="7">
        <v>86</v>
      </c>
      <c r="H39" s="4">
        <v>87</v>
      </c>
      <c r="I39" s="4">
        <v>87</v>
      </c>
      <c r="J39" s="4">
        <v>89</v>
      </c>
      <c r="K39" s="4">
        <v>91</v>
      </c>
      <c r="L39" s="4">
        <v>92</v>
      </c>
      <c r="M39" s="4">
        <v>94</v>
      </c>
      <c r="N39" s="8">
        <f>SUM(B39:M39)/12</f>
        <v>87.25</v>
      </c>
    </row>
    <row r="40" spans="1:15" s="2" customFormat="1" x14ac:dyDescent="0.25">
      <c r="A40" s="5" t="s">
        <v>16</v>
      </c>
      <c r="B40" s="9">
        <f>1-1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>
        <f>SUM(B40:M40)/12</f>
        <v>0</v>
      </c>
    </row>
    <row r="41" spans="1:15" s="2" customFormat="1" x14ac:dyDescent="0.25">
      <c r="A41" s="5" t="s">
        <v>17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SUM(B41:M41)/12</f>
        <v>0</v>
      </c>
    </row>
    <row r="42" spans="1:15" s="2" customFormat="1" x14ac:dyDescent="0.25">
      <c r="A42" s="5"/>
      <c r="B42" s="11"/>
      <c r="C42" s="11"/>
      <c r="D42" s="11"/>
      <c r="E42" s="11"/>
      <c r="F42" s="11"/>
      <c r="G42" s="11"/>
      <c r="H42" s="9"/>
      <c r="I42" s="11"/>
      <c r="J42" s="11"/>
      <c r="K42" s="11"/>
      <c r="L42" s="11"/>
      <c r="M42" s="11"/>
      <c r="N42" s="12"/>
      <c r="O42" s="13"/>
    </row>
    <row r="43" spans="1:15" s="2" customFormat="1" x14ac:dyDescent="0.25">
      <c r="A43" s="3" t="s">
        <v>62</v>
      </c>
      <c r="B43" s="4">
        <f>B39+(B41*1.5)+(B40*0.8)</f>
        <v>80</v>
      </c>
      <c r="C43" s="4">
        <f>C39+(C41*1.5)+(C40*0.8)</f>
        <v>84</v>
      </c>
      <c r="D43" s="4">
        <f>D39+(D41*1.5)+(D40*0.8)</f>
        <v>85</v>
      </c>
      <c r="E43" s="4">
        <f>E39+(E41*1.5)+(E40*0.8)</f>
        <v>86</v>
      </c>
      <c r="F43" s="4">
        <f>F39+(F41*1.5)+(F40*0.8)</f>
        <v>86</v>
      </c>
      <c r="G43" s="4">
        <f t="shared" ref="G43:M43" si="2">G39+(G41*1.5)+(G40*0.8)</f>
        <v>86</v>
      </c>
      <c r="H43" s="4">
        <f t="shared" si="2"/>
        <v>87</v>
      </c>
      <c r="I43" s="4">
        <f t="shared" si="2"/>
        <v>87</v>
      </c>
      <c r="J43" s="4">
        <f t="shared" si="2"/>
        <v>89</v>
      </c>
      <c r="K43" s="4">
        <f t="shared" si="2"/>
        <v>91</v>
      </c>
      <c r="L43" s="4">
        <f t="shared" si="2"/>
        <v>92</v>
      </c>
      <c r="M43" s="4">
        <f t="shared" si="2"/>
        <v>94</v>
      </c>
      <c r="N43" s="10">
        <f>SUM(B43:M43)/12</f>
        <v>87.25</v>
      </c>
    </row>
    <row r="44" spans="1:15" s="2" customFormat="1" x14ac:dyDescent="0.25">
      <c r="A44" s="14" t="s">
        <v>19</v>
      </c>
      <c r="B44" s="15">
        <v>4</v>
      </c>
      <c r="C44" s="16">
        <v>4</v>
      </c>
      <c r="D44" s="16">
        <v>1</v>
      </c>
      <c r="E44" s="16">
        <v>1</v>
      </c>
      <c r="F44" s="16"/>
      <c r="G44" s="16"/>
      <c r="H44" s="16">
        <v>1</v>
      </c>
      <c r="I44" s="16"/>
      <c r="J44" s="16">
        <v>2</v>
      </c>
      <c r="K44" s="16">
        <v>2</v>
      </c>
      <c r="L44" s="16">
        <v>1</v>
      </c>
      <c r="M44" s="16">
        <v>2</v>
      </c>
      <c r="N44" s="17">
        <f>SUM(B44:M44)</f>
        <v>18</v>
      </c>
      <c r="O44" s="16"/>
    </row>
    <row r="45" spans="1:15" x14ac:dyDescent="0.25">
      <c r="B45" s="54" t="s">
        <v>181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5" x14ac:dyDescent="0.25">
      <c r="B46" s="54" t="s">
        <v>182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5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E28" sqref="E28"/>
    </sheetView>
  </sheetViews>
  <sheetFormatPr defaultRowHeight="15" x14ac:dyDescent="0.25"/>
  <cols>
    <col min="3" max="3" width="10.42578125" customWidth="1"/>
  </cols>
  <sheetData>
    <row r="2" spans="1:15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303" t="s">
        <v>166</v>
      </c>
      <c r="B3" s="304" t="s">
        <v>2</v>
      </c>
      <c r="C3" s="304" t="s">
        <v>3</v>
      </c>
      <c r="D3" s="304" t="s">
        <v>4</v>
      </c>
      <c r="E3" s="304" t="s">
        <v>5</v>
      </c>
      <c r="F3" s="304" t="s">
        <v>6</v>
      </c>
      <c r="G3" s="304" t="s">
        <v>7</v>
      </c>
      <c r="H3" s="304" t="s">
        <v>8</v>
      </c>
      <c r="I3" s="304" t="s">
        <v>9</v>
      </c>
      <c r="J3" s="304" t="s">
        <v>10</v>
      </c>
      <c r="K3" s="304" t="s">
        <v>11</v>
      </c>
      <c r="L3" s="304" t="s">
        <v>12</v>
      </c>
      <c r="M3" s="304" t="s">
        <v>13</v>
      </c>
      <c r="N3" s="305" t="s">
        <v>14</v>
      </c>
    </row>
    <row r="4" spans="1:15" x14ac:dyDescent="0.2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15" x14ac:dyDescent="0.25">
      <c r="A5" s="305" t="s">
        <v>15</v>
      </c>
      <c r="B5" s="32">
        <f>34-0.75</f>
        <v>33.25</v>
      </c>
      <c r="C5" s="58">
        <f>33+1</f>
        <v>34</v>
      </c>
      <c r="D5" s="58">
        <f>34-0.5</f>
        <v>33.5</v>
      </c>
      <c r="E5" s="58">
        <v>33</v>
      </c>
      <c r="F5" s="58">
        <v>35</v>
      </c>
      <c r="G5" s="386">
        <v>37</v>
      </c>
      <c r="H5" s="58">
        <v>37</v>
      </c>
      <c r="I5" s="58">
        <f>37+2</f>
        <v>39</v>
      </c>
      <c r="J5" s="58">
        <f>39+1-0.25-0.25</f>
        <v>39.5</v>
      </c>
      <c r="K5" s="58">
        <f>38+1</f>
        <v>39</v>
      </c>
      <c r="L5" s="41">
        <v>41</v>
      </c>
      <c r="M5" s="4">
        <v>44</v>
      </c>
      <c r="N5" s="8">
        <f>SUM(B5:M5)/12</f>
        <v>37.104166666666664</v>
      </c>
    </row>
    <row r="6" spans="1:15" x14ac:dyDescent="0.25">
      <c r="A6" s="305" t="s">
        <v>16</v>
      </c>
      <c r="B6" s="33">
        <v>1</v>
      </c>
      <c r="C6" s="33">
        <v>1</v>
      </c>
      <c r="D6" s="33">
        <v>1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43">
        <v>1</v>
      </c>
      <c r="M6" s="9">
        <v>1</v>
      </c>
      <c r="N6" s="10">
        <f>SUM(B6:M6)/12</f>
        <v>1</v>
      </c>
    </row>
    <row r="7" spans="1:15" x14ac:dyDescent="0.25">
      <c r="A7" s="305" t="s">
        <v>17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0">
        <f>SUM(B7:M7)/12</f>
        <v>0</v>
      </c>
    </row>
    <row r="8" spans="1:15" x14ac:dyDescent="0.25">
      <c r="A8" s="305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</row>
    <row r="9" spans="1:15" x14ac:dyDescent="0.25">
      <c r="A9" s="303" t="s">
        <v>62</v>
      </c>
      <c r="B9" s="4">
        <f>B5+(B7*1.5)+(B6*0.8)</f>
        <v>34.049999999999997</v>
      </c>
      <c r="C9" s="4">
        <f>C5+(C7*1.5)+(C6*0.8)</f>
        <v>34.799999999999997</v>
      </c>
      <c r="D9" s="4">
        <f>D5+(D7*1.5)+(D6*0.8)</f>
        <v>34.299999999999997</v>
      </c>
      <c r="E9" s="4">
        <f>E5+(E7*1.5)+(E6*0.8)</f>
        <v>33.799999999999997</v>
      </c>
      <c r="F9" s="4">
        <f>F5+(F7*1.5)+(F6*0.8)</f>
        <v>35.799999999999997</v>
      </c>
      <c r="G9" s="4">
        <f t="shared" ref="G9:M9" si="0">G5+(G7*1.5)+(G6*0.8)</f>
        <v>37.799999999999997</v>
      </c>
      <c r="H9" s="4">
        <f t="shared" si="0"/>
        <v>37.799999999999997</v>
      </c>
      <c r="I9" s="4">
        <f t="shared" si="0"/>
        <v>39.799999999999997</v>
      </c>
      <c r="J9" s="4">
        <f t="shared" si="0"/>
        <v>40.299999999999997</v>
      </c>
      <c r="K9" s="4">
        <f t="shared" si="0"/>
        <v>39.799999999999997</v>
      </c>
      <c r="L9" s="4">
        <f t="shared" si="0"/>
        <v>41.8</v>
      </c>
      <c r="M9" s="4">
        <f t="shared" si="0"/>
        <v>44.8</v>
      </c>
      <c r="N9" s="10">
        <f>SUM(B9:M9)/12</f>
        <v>37.904166666666676</v>
      </c>
    </row>
    <row r="10" spans="1:15" x14ac:dyDescent="0.25">
      <c r="A10" s="81" t="s">
        <v>19</v>
      </c>
      <c r="B10" s="104"/>
      <c r="C10" s="95">
        <v>1</v>
      </c>
      <c r="D10" s="95"/>
      <c r="E10" s="95"/>
      <c r="F10" s="95">
        <v>2</v>
      </c>
      <c r="G10" s="95">
        <v>2</v>
      </c>
      <c r="H10" s="95"/>
      <c r="I10" s="95">
        <v>2</v>
      </c>
      <c r="J10" s="95">
        <v>1</v>
      </c>
      <c r="K10" s="95">
        <v>1</v>
      </c>
      <c r="L10" s="95">
        <v>2</v>
      </c>
      <c r="M10" s="95">
        <v>3</v>
      </c>
      <c r="N10" s="82">
        <v>7</v>
      </c>
      <c r="O10" s="66"/>
    </row>
    <row r="11" spans="1:15" x14ac:dyDescent="0.25">
      <c r="B11" s="112" t="s">
        <v>164</v>
      </c>
      <c r="C11" s="112"/>
      <c r="D11" s="112" t="s">
        <v>165</v>
      </c>
      <c r="E11" s="112"/>
      <c r="F11" s="112"/>
      <c r="G11" s="112"/>
      <c r="H11" s="112"/>
      <c r="J11" s="112" t="s">
        <v>293</v>
      </c>
      <c r="K11" s="112"/>
      <c r="L11" s="112"/>
      <c r="M11" s="112"/>
    </row>
    <row r="12" spans="1:15" x14ac:dyDescent="0.25">
      <c r="J12" s="47" t="s">
        <v>294</v>
      </c>
    </row>
    <row r="13" spans="1:15" x14ac:dyDescent="0.25">
      <c r="A13" s="184" t="s">
        <v>76</v>
      </c>
      <c r="B13" s="185"/>
      <c r="C13" s="185"/>
      <c r="D13" s="185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5" x14ac:dyDescent="0.25">
      <c r="A14" s="172"/>
      <c r="B14" s="173" t="s">
        <v>2</v>
      </c>
      <c r="C14" s="173" t="s">
        <v>3</v>
      </c>
      <c r="D14" s="173" t="s">
        <v>4</v>
      </c>
      <c r="E14" s="173" t="s">
        <v>5</v>
      </c>
      <c r="F14" s="173" t="s">
        <v>6</v>
      </c>
      <c r="G14" s="173" t="s">
        <v>7</v>
      </c>
      <c r="H14" s="173" t="s">
        <v>8</v>
      </c>
      <c r="I14" s="173" t="s">
        <v>9</v>
      </c>
      <c r="J14" s="173" t="s">
        <v>10</v>
      </c>
      <c r="K14" s="173" t="s">
        <v>11</v>
      </c>
      <c r="L14" s="173" t="s">
        <v>12</v>
      </c>
      <c r="M14" s="173" t="s">
        <v>13</v>
      </c>
      <c r="N14" s="174" t="s">
        <v>14</v>
      </c>
    </row>
    <row r="15" spans="1:15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5" x14ac:dyDescent="0.25">
      <c r="A16" s="174" t="s">
        <v>15</v>
      </c>
      <c r="B16" s="182">
        <v>34</v>
      </c>
      <c r="C16" s="182">
        <v>35</v>
      </c>
      <c r="D16" s="182">
        <v>35</v>
      </c>
      <c r="E16" s="182">
        <v>35</v>
      </c>
      <c r="F16" s="182">
        <v>37</v>
      </c>
      <c r="G16" s="183">
        <v>40</v>
      </c>
      <c r="H16" s="181">
        <v>41</v>
      </c>
      <c r="I16" s="180">
        <v>42</v>
      </c>
      <c r="J16" s="180">
        <v>42</v>
      </c>
      <c r="K16" s="180">
        <v>43</v>
      </c>
      <c r="L16" s="180">
        <v>45</v>
      </c>
      <c r="M16" s="180">
        <v>47</v>
      </c>
      <c r="N16" s="176">
        <v>39.666666666666664</v>
      </c>
    </row>
    <row r="17" spans="1:15" x14ac:dyDescent="0.25">
      <c r="A17" s="174" t="s">
        <v>16</v>
      </c>
      <c r="B17" s="182">
        <v>1</v>
      </c>
      <c r="C17" s="182">
        <v>1</v>
      </c>
      <c r="D17" s="182">
        <v>1</v>
      </c>
      <c r="E17" s="182">
        <v>1</v>
      </c>
      <c r="F17" s="182">
        <v>1</v>
      </c>
      <c r="G17" s="182">
        <v>1</v>
      </c>
      <c r="H17" s="175">
        <v>1</v>
      </c>
      <c r="I17" s="175">
        <v>1</v>
      </c>
      <c r="J17" s="175">
        <v>1</v>
      </c>
      <c r="K17" s="175">
        <v>1</v>
      </c>
      <c r="L17" s="175">
        <v>1</v>
      </c>
      <c r="M17" s="175">
        <v>1</v>
      </c>
      <c r="N17" s="178">
        <v>1</v>
      </c>
    </row>
    <row r="18" spans="1:15" x14ac:dyDescent="0.25">
      <c r="A18" s="174" t="s">
        <v>17</v>
      </c>
      <c r="B18" s="177"/>
      <c r="C18" s="177"/>
      <c r="D18" s="177"/>
      <c r="E18" s="177"/>
      <c r="F18" s="177"/>
      <c r="G18" s="175"/>
      <c r="H18" s="175"/>
      <c r="I18" s="175"/>
      <c r="J18" s="175"/>
      <c r="K18" s="175"/>
      <c r="L18" s="175"/>
      <c r="M18" s="175"/>
      <c r="N18" s="178">
        <v>0</v>
      </c>
    </row>
    <row r="19" spans="1:15" x14ac:dyDescent="0.25">
      <c r="A19" s="174"/>
      <c r="B19" s="175"/>
      <c r="C19" s="175"/>
      <c r="D19" s="175"/>
      <c r="E19" s="175"/>
      <c r="F19" s="175"/>
      <c r="G19" s="175"/>
      <c r="H19" s="177"/>
      <c r="I19" s="175"/>
      <c r="J19" s="175"/>
      <c r="K19" s="175"/>
      <c r="L19" s="175"/>
      <c r="M19" s="175"/>
      <c r="N19" s="179"/>
    </row>
    <row r="20" spans="1:15" x14ac:dyDescent="0.25">
      <c r="A20" s="172" t="s">
        <v>18</v>
      </c>
      <c r="B20" s="177">
        <v>34.799999999999997</v>
      </c>
      <c r="C20" s="177">
        <v>35.799999999999997</v>
      </c>
      <c r="D20" s="177">
        <v>35.799999999999997</v>
      </c>
      <c r="E20" s="177">
        <v>35.799999999999997</v>
      </c>
      <c r="F20" s="177">
        <v>37.799999999999997</v>
      </c>
      <c r="G20" s="177">
        <v>40.799999999999997</v>
      </c>
      <c r="H20" s="177">
        <v>41.8</v>
      </c>
      <c r="I20" s="177">
        <v>42.8</v>
      </c>
      <c r="J20" s="177">
        <v>42.8</v>
      </c>
      <c r="K20" s="177">
        <v>43.8</v>
      </c>
      <c r="L20" s="177">
        <v>45.8</v>
      </c>
      <c r="M20" s="177">
        <v>47.8</v>
      </c>
      <c r="N20" s="178">
        <v>40.466666666666676</v>
      </c>
    </row>
    <row r="21" spans="1:15" x14ac:dyDescent="0.25">
      <c r="A21" s="169"/>
      <c r="B21" s="171">
        <v>0</v>
      </c>
      <c r="C21" s="171">
        <v>1</v>
      </c>
      <c r="D21" s="186">
        <v>0</v>
      </c>
      <c r="E21" s="171">
        <v>0</v>
      </c>
      <c r="F21" s="171">
        <v>2</v>
      </c>
      <c r="G21" s="171">
        <v>3</v>
      </c>
      <c r="H21" s="171">
        <v>1</v>
      </c>
      <c r="I21" s="171">
        <v>1</v>
      </c>
      <c r="J21" s="171">
        <v>0</v>
      </c>
      <c r="K21" s="171">
        <v>1</v>
      </c>
      <c r="L21" s="171">
        <v>2</v>
      </c>
      <c r="M21" s="171">
        <v>2</v>
      </c>
      <c r="N21" s="178">
        <v>13</v>
      </c>
    </row>
    <row r="22" spans="1:15" x14ac:dyDescent="0.25">
      <c r="A22" s="168"/>
      <c r="B22" s="170" t="s">
        <v>78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</row>
    <row r="23" spans="1:15" x14ac:dyDescent="0.25">
      <c r="A23" s="168"/>
      <c r="B23" s="168"/>
      <c r="C23" s="168"/>
      <c r="D23" s="168" t="s">
        <v>79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</row>
    <row r="24" spans="1:15" x14ac:dyDescent="0.25">
      <c r="A24" s="400" t="s">
        <v>292</v>
      </c>
      <c r="B24" s="400"/>
      <c r="C24" s="400"/>
      <c r="D24" s="400"/>
    </row>
    <row r="25" spans="1:15" s="2" customFormat="1" x14ac:dyDescent="0.25">
      <c r="A25" s="3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 t="s">
        <v>13</v>
      </c>
      <c r="N25" s="5" t="s">
        <v>14</v>
      </c>
    </row>
    <row r="26" spans="1:15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5" s="2" customFormat="1" x14ac:dyDescent="0.25">
      <c r="A27" s="5" t="s">
        <v>15</v>
      </c>
      <c r="B27" s="6">
        <f>44-14+1</f>
        <v>31</v>
      </c>
      <c r="C27" s="4">
        <v>31</v>
      </c>
      <c r="D27" s="4">
        <v>32</v>
      </c>
      <c r="E27" s="4">
        <v>32</v>
      </c>
      <c r="F27" s="4">
        <v>32</v>
      </c>
      <c r="G27" s="7">
        <v>32</v>
      </c>
      <c r="H27" s="4">
        <v>32</v>
      </c>
      <c r="I27" s="4">
        <v>33</v>
      </c>
      <c r="J27" s="4">
        <v>33</v>
      </c>
      <c r="K27" s="4">
        <v>33</v>
      </c>
      <c r="L27" s="4">
        <v>33</v>
      </c>
      <c r="M27" s="4">
        <v>34</v>
      </c>
      <c r="N27" s="8">
        <f>SUM(B27:M27)/12</f>
        <v>32.333333333333336</v>
      </c>
    </row>
    <row r="28" spans="1:15" s="2" customFormat="1" x14ac:dyDescent="0.25">
      <c r="A28" s="5" t="s">
        <v>16</v>
      </c>
      <c r="B28" s="9">
        <f>1-1</f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>SUM(B28:M28)/12</f>
        <v>0</v>
      </c>
    </row>
    <row r="29" spans="1:15" s="2" customFormat="1" x14ac:dyDescent="0.25">
      <c r="A29" s="5" t="s">
        <v>17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>SUM(B29:M29)/12</f>
        <v>0</v>
      </c>
    </row>
    <row r="30" spans="1:15" s="2" customFormat="1" x14ac:dyDescent="0.25">
      <c r="A30" s="5"/>
      <c r="B30" s="11"/>
      <c r="C30" s="11"/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2"/>
      <c r="O30" s="13"/>
    </row>
    <row r="31" spans="1:15" s="2" customFormat="1" x14ac:dyDescent="0.25">
      <c r="A31" s="3" t="s">
        <v>62</v>
      </c>
      <c r="B31" s="4">
        <f>B27+(B29*1.5)+(B28*0.8)</f>
        <v>31</v>
      </c>
      <c r="C31" s="4">
        <f>C27+(C29*1.5)+(C28*0.8)</f>
        <v>31</v>
      </c>
      <c r="D31" s="4">
        <f>D27+(D29*1.5)+(D28*0.8)</f>
        <v>32</v>
      </c>
      <c r="E31" s="4">
        <f>E27+(E29*1.5)+(E28*0.8)</f>
        <v>32</v>
      </c>
      <c r="F31" s="4">
        <f>F27+(F29*1.5)+(F28*0.8)</f>
        <v>32</v>
      </c>
      <c r="G31" s="4">
        <f t="shared" ref="G31:M31" si="1">G27+(G29*1.5)+(G28*0.8)</f>
        <v>32</v>
      </c>
      <c r="H31" s="4">
        <f t="shared" si="1"/>
        <v>32</v>
      </c>
      <c r="I31" s="4">
        <f t="shared" si="1"/>
        <v>33</v>
      </c>
      <c r="J31" s="4">
        <f t="shared" si="1"/>
        <v>33</v>
      </c>
      <c r="K31" s="4">
        <f t="shared" si="1"/>
        <v>33</v>
      </c>
      <c r="L31" s="4">
        <f t="shared" si="1"/>
        <v>33</v>
      </c>
      <c r="M31" s="4">
        <f t="shared" si="1"/>
        <v>34</v>
      </c>
      <c r="N31" s="10">
        <f>SUM(B31:M31)/12</f>
        <v>32.333333333333336</v>
      </c>
    </row>
    <row r="32" spans="1:15" s="2" customFormat="1" x14ac:dyDescent="0.25">
      <c r="A32" s="14" t="s">
        <v>19</v>
      </c>
      <c r="B32" s="15">
        <v>1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0</v>
      </c>
      <c r="L32" s="16">
        <v>0</v>
      </c>
      <c r="M32" s="16">
        <v>1</v>
      </c>
      <c r="N32" s="17">
        <f>SUM(B32:M32)</f>
        <v>4</v>
      </c>
      <c r="O32" s="16"/>
    </row>
    <row r="33" spans="1:15" x14ac:dyDescent="0.25">
      <c r="B33" s="47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5" x14ac:dyDescent="0.25">
      <c r="B34" s="47" t="s">
        <v>70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5" x14ac:dyDescent="0.2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</row>
    <row r="36" spans="1:15" x14ac:dyDescent="0.25">
      <c r="A36" s="358" t="s">
        <v>160</v>
      </c>
      <c r="B36" s="358"/>
      <c r="C36" s="358"/>
      <c r="D36" s="358"/>
    </row>
    <row r="37" spans="1:15" s="2" customFormat="1" x14ac:dyDescent="0.25">
      <c r="A37" s="3"/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5" t="s">
        <v>14</v>
      </c>
    </row>
    <row r="38" spans="1:15" s="2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5" s="2" customFormat="1" x14ac:dyDescent="0.25">
      <c r="A39" s="5" t="s">
        <v>15</v>
      </c>
      <c r="B39" s="6">
        <f>44-12+1</f>
        <v>33</v>
      </c>
      <c r="C39" s="4">
        <v>33</v>
      </c>
      <c r="D39" s="4">
        <v>34</v>
      </c>
      <c r="E39" s="4">
        <v>34</v>
      </c>
      <c r="F39" s="4">
        <v>34</v>
      </c>
      <c r="G39" s="7">
        <v>34</v>
      </c>
      <c r="H39" s="4">
        <v>34</v>
      </c>
      <c r="I39" s="4">
        <v>35</v>
      </c>
      <c r="J39" s="4">
        <v>35</v>
      </c>
      <c r="K39" s="4">
        <v>35</v>
      </c>
      <c r="L39" s="4">
        <v>35</v>
      </c>
      <c r="M39" s="4">
        <v>36</v>
      </c>
      <c r="N39" s="8">
        <f>SUM(B39:M39)/12</f>
        <v>34.333333333333336</v>
      </c>
    </row>
    <row r="40" spans="1:15" s="2" customFormat="1" x14ac:dyDescent="0.25">
      <c r="A40" s="5" t="s">
        <v>16</v>
      </c>
      <c r="B40" s="9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>
        <f>SUM(B40:M40)/12</f>
        <v>0</v>
      </c>
    </row>
    <row r="41" spans="1:15" s="2" customFormat="1" x14ac:dyDescent="0.25">
      <c r="A41" s="5" t="s">
        <v>17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SUM(B41:M41)/12</f>
        <v>0</v>
      </c>
    </row>
    <row r="42" spans="1:15" s="2" customFormat="1" x14ac:dyDescent="0.25">
      <c r="A42" s="5"/>
      <c r="B42" s="11"/>
      <c r="C42" s="11"/>
      <c r="D42" s="11"/>
      <c r="E42" s="11"/>
      <c r="F42" s="11"/>
      <c r="G42" s="11"/>
      <c r="H42" s="9"/>
      <c r="I42" s="11"/>
      <c r="J42" s="11"/>
      <c r="K42" s="11"/>
      <c r="L42" s="11"/>
      <c r="M42" s="11"/>
      <c r="N42" s="12"/>
      <c r="O42" s="13"/>
    </row>
    <row r="43" spans="1:15" s="2" customFormat="1" x14ac:dyDescent="0.25">
      <c r="A43" s="3" t="s">
        <v>62</v>
      </c>
      <c r="B43" s="4">
        <f>B39+(B41*1.5)+(B40*0.8)</f>
        <v>33</v>
      </c>
      <c r="C43" s="4">
        <f>C39+(C41*1.5)+(C40*0.8)</f>
        <v>33</v>
      </c>
      <c r="D43" s="4">
        <f>D39+(D41*1.5)+(D40*0.8)</f>
        <v>34</v>
      </c>
      <c r="E43" s="4">
        <f>E39+(E41*1.5)+(E40*0.8)</f>
        <v>34</v>
      </c>
      <c r="F43" s="4">
        <f>F39+(F41*1.5)+(F40*0.8)</f>
        <v>34</v>
      </c>
      <c r="G43" s="4">
        <f t="shared" ref="G43:M43" si="2">G39+(G41*1.5)+(G40*0.8)</f>
        <v>34</v>
      </c>
      <c r="H43" s="4">
        <f t="shared" si="2"/>
        <v>34</v>
      </c>
      <c r="I43" s="4">
        <f t="shared" si="2"/>
        <v>35</v>
      </c>
      <c r="J43" s="4">
        <f t="shared" si="2"/>
        <v>35</v>
      </c>
      <c r="K43" s="4">
        <f t="shared" si="2"/>
        <v>35</v>
      </c>
      <c r="L43" s="4">
        <f t="shared" si="2"/>
        <v>35</v>
      </c>
      <c r="M43" s="4">
        <f t="shared" si="2"/>
        <v>36</v>
      </c>
      <c r="N43" s="10">
        <f>SUM(B43:M43)/12</f>
        <v>34.333333333333336</v>
      </c>
    </row>
    <row r="44" spans="1:15" s="2" customFormat="1" x14ac:dyDescent="0.25">
      <c r="A44" s="14" t="s">
        <v>19</v>
      </c>
      <c r="B44" s="15">
        <v>1</v>
      </c>
      <c r="C44" s="16">
        <v>0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0</v>
      </c>
      <c r="L44" s="16">
        <v>0</v>
      </c>
      <c r="M44" s="16">
        <v>1</v>
      </c>
      <c r="N44" s="17">
        <f>SUM(B44:M44)</f>
        <v>4</v>
      </c>
      <c r="O44" s="16"/>
    </row>
    <row r="45" spans="1:15" x14ac:dyDescent="0.25">
      <c r="B45" s="47" t="s">
        <v>163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5" x14ac:dyDescent="0.25">
      <c r="B46" s="47" t="s">
        <v>70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5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5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pageMargins left="0" right="0" top="0.15748031496062992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workbookViewId="0">
      <selection activeCell="M28" sqref="M28"/>
    </sheetView>
  </sheetViews>
  <sheetFormatPr defaultRowHeight="15" x14ac:dyDescent="0.25"/>
  <sheetData>
    <row r="2" spans="1:20" x14ac:dyDescent="0.25">
      <c r="A2" s="39" t="s">
        <v>50</v>
      </c>
      <c r="B2" s="87"/>
      <c r="C2" s="87"/>
      <c r="D2" s="8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x14ac:dyDescent="0.25">
      <c r="A3" s="84"/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6" t="s">
        <v>14</v>
      </c>
      <c r="O3" s="66"/>
    </row>
    <row r="4" spans="1:20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6"/>
    </row>
    <row r="5" spans="1:20" x14ac:dyDescent="0.25">
      <c r="A5" s="86" t="s">
        <v>15</v>
      </c>
      <c r="B5" s="32">
        <v>53</v>
      </c>
      <c r="C5" s="58">
        <v>59</v>
      </c>
      <c r="D5" s="58">
        <v>59</v>
      </c>
      <c r="E5" s="58">
        <v>63</v>
      </c>
      <c r="F5" s="58">
        <v>64</v>
      </c>
      <c r="G5" s="386">
        <v>64</v>
      </c>
      <c r="H5" s="58">
        <f>64+1</f>
        <v>65</v>
      </c>
      <c r="I5" s="58">
        <f>65+2+2-2</f>
        <v>67</v>
      </c>
      <c r="J5" s="58">
        <f>67+2</f>
        <v>69</v>
      </c>
      <c r="K5" s="58">
        <f>69+2</f>
        <v>71</v>
      </c>
      <c r="L5" s="41">
        <v>71</v>
      </c>
      <c r="M5" s="4">
        <v>72</v>
      </c>
      <c r="N5" s="8">
        <f>SUM(B5:M5)/12</f>
        <v>64.75</v>
      </c>
      <c r="O5" s="66"/>
    </row>
    <row r="6" spans="1:20" x14ac:dyDescent="0.25">
      <c r="A6" s="86" t="s">
        <v>16</v>
      </c>
      <c r="B6" s="33">
        <v>3</v>
      </c>
      <c r="C6" s="33">
        <v>3</v>
      </c>
      <c r="D6" s="33">
        <v>3</v>
      </c>
      <c r="E6" s="33">
        <v>4</v>
      </c>
      <c r="F6" s="33">
        <v>4</v>
      </c>
      <c r="G6" s="33">
        <v>4</v>
      </c>
      <c r="H6" s="33">
        <v>4</v>
      </c>
      <c r="I6" s="33">
        <v>2</v>
      </c>
      <c r="J6" s="33">
        <v>2</v>
      </c>
      <c r="K6" s="33">
        <v>2</v>
      </c>
      <c r="L6" s="43">
        <v>2</v>
      </c>
      <c r="M6" s="9">
        <v>2</v>
      </c>
      <c r="N6" s="10">
        <f>SUM(B6:M6)/12</f>
        <v>2.9166666666666665</v>
      </c>
      <c r="O6" s="66"/>
    </row>
    <row r="7" spans="1:20" x14ac:dyDescent="0.25">
      <c r="A7" s="8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4"/>
      <c r="M7" s="11"/>
      <c r="N7" s="10">
        <f>SUM(B7:M7)/12</f>
        <v>0</v>
      </c>
      <c r="O7" s="66"/>
    </row>
    <row r="8" spans="1:20" x14ac:dyDescent="0.25">
      <c r="A8" s="86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2"/>
      <c r="O8" s="67"/>
    </row>
    <row r="9" spans="1:20" x14ac:dyDescent="0.25">
      <c r="A9" s="84" t="s">
        <v>18</v>
      </c>
      <c r="B9" s="4">
        <f>B5+(B7*1.5)+(B6*0.8)</f>
        <v>55.4</v>
      </c>
      <c r="C9" s="4">
        <f>C5+(C7*1.5)+(C6*0.8)</f>
        <v>61.4</v>
      </c>
      <c r="D9" s="4">
        <f>D5+(D7*1.5)+(D6*0.8)</f>
        <v>61.4</v>
      </c>
      <c r="E9" s="4">
        <f>E5+(E7*1.5)+(E6*0.8)</f>
        <v>66.2</v>
      </c>
      <c r="F9" s="4">
        <f>F5+(F7*1.5)+(F6*0.8)</f>
        <v>67.2</v>
      </c>
      <c r="G9" s="4">
        <f t="shared" ref="G9:M9" si="0">G5+(G7*1.5)+(G6*0.8)</f>
        <v>67.2</v>
      </c>
      <c r="H9" s="4">
        <f t="shared" si="0"/>
        <v>68.2</v>
      </c>
      <c r="I9" s="4">
        <f t="shared" si="0"/>
        <v>68.599999999999994</v>
      </c>
      <c r="J9" s="4">
        <f t="shared" si="0"/>
        <v>70.599999999999994</v>
      </c>
      <c r="K9" s="4">
        <f t="shared" si="0"/>
        <v>72.599999999999994</v>
      </c>
      <c r="L9" s="4">
        <f t="shared" si="0"/>
        <v>72.599999999999994</v>
      </c>
      <c r="M9" s="4">
        <f t="shared" si="0"/>
        <v>73.599999999999994</v>
      </c>
      <c r="N9" s="10">
        <f>SUM(B9:M9)/12</f>
        <v>67.083333333333329</v>
      </c>
      <c r="O9" s="66"/>
    </row>
    <row r="10" spans="1:20" x14ac:dyDescent="0.25">
      <c r="A10" s="81" t="s">
        <v>19</v>
      </c>
      <c r="B10" s="77">
        <v>2</v>
      </c>
      <c r="C10" s="68">
        <v>6</v>
      </c>
      <c r="D10" s="68">
        <v>0</v>
      </c>
      <c r="E10" s="68">
        <v>5</v>
      </c>
      <c r="F10" s="68">
        <v>1</v>
      </c>
      <c r="G10" s="68">
        <v>0</v>
      </c>
      <c r="H10" s="68">
        <v>1</v>
      </c>
      <c r="I10" s="68">
        <v>2</v>
      </c>
      <c r="J10" s="68">
        <v>2</v>
      </c>
      <c r="K10" s="68">
        <v>2</v>
      </c>
      <c r="L10" s="68">
        <v>0</v>
      </c>
      <c r="M10" s="68">
        <v>1</v>
      </c>
      <c r="N10" s="82">
        <f>SUM(B10:M10)</f>
        <v>22</v>
      </c>
      <c r="O10" s="66"/>
    </row>
    <row r="11" spans="1:20" x14ac:dyDescent="0.25">
      <c r="H11" s="47" t="s">
        <v>271</v>
      </c>
      <c r="I11" s="54" t="s">
        <v>258</v>
      </c>
    </row>
    <row r="12" spans="1:20" x14ac:dyDescent="0.25">
      <c r="I12" s="54" t="s">
        <v>257</v>
      </c>
    </row>
    <row r="13" spans="1:20" x14ac:dyDescent="0.25">
      <c r="A13" s="271" t="s">
        <v>76</v>
      </c>
      <c r="B13" s="272"/>
      <c r="C13" s="272"/>
      <c r="D13" s="272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68"/>
      <c r="Q13" s="268"/>
      <c r="R13" s="268"/>
      <c r="S13" s="268"/>
      <c r="T13" s="268"/>
    </row>
    <row r="14" spans="1:20" x14ac:dyDescent="0.25">
      <c r="A14" s="252"/>
      <c r="B14" s="253" t="s">
        <v>2</v>
      </c>
      <c r="C14" s="253" t="s">
        <v>3</v>
      </c>
      <c r="D14" s="253" t="s">
        <v>4</v>
      </c>
      <c r="E14" s="253" t="s">
        <v>5</v>
      </c>
      <c r="F14" s="253" t="s">
        <v>6</v>
      </c>
      <c r="G14" s="253" t="s">
        <v>7</v>
      </c>
      <c r="H14" s="253" t="s">
        <v>8</v>
      </c>
      <c r="I14" s="253" t="s">
        <v>9</v>
      </c>
      <c r="J14" s="253" t="s">
        <v>10</v>
      </c>
      <c r="K14" s="253" t="s">
        <v>11</v>
      </c>
      <c r="L14" s="253" t="s">
        <v>12</v>
      </c>
      <c r="M14" s="253" t="s">
        <v>13</v>
      </c>
      <c r="N14" s="254" t="s">
        <v>14</v>
      </c>
      <c r="O14" s="250"/>
      <c r="P14" s="269"/>
      <c r="Q14" s="268"/>
      <c r="R14" s="268"/>
      <c r="S14" s="268"/>
      <c r="T14" s="268"/>
    </row>
    <row r="15" spans="1:20" x14ac:dyDescent="0.2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0"/>
      <c r="P15" s="268"/>
      <c r="Q15" s="268"/>
      <c r="R15" s="268"/>
      <c r="S15" s="268"/>
      <c r="T15" s="268"/>
    </row>
    <row r="16" spans="1:20" x14ac:dyDescent="0.25">
      <c r="A16" s="254" t="s">
        <v>15</v>
      </c>
      <c r="B16" s="263">
        <v>53</v>
      </c>
      <c r="C16" s="264">
        <v>57</v>
      </c>
      <c r="D16" s="264">
        <v>59</v>
      </c>
      <c r="E16" s="264">
        <v>63</v>
      </c>
      <c r="F16" s="264">
        <v>64</v>
      </c>
      <c r="G16" s="265">
        <v>65</v>
      </c>
      <c r="H16" s="261">
        <v>68</v>
      </c>
      <c r="I16" s="260">
        <v>68</v>
      </c>
      <c r="J16" s="260">
        <v>69</v>
      </c>
      <c r="K16" s="260">
        <v>71</v>
      </c>
      <c r="L16" s="260">
        <v>71</v>
      </c>
      <c r="M16" s="260">
        <v>72</v>
      </c>
      <c r="N16" s="256">
        <v>65</v>
      </c>
      <c r="O16" s="250"/>
      <c r="P16" s="268"/>
      <c r="Q16" s="268"/>
      <c r="R16" s="268"/>
      <c r="S16" s="268"/>
      <c r="T16" s="268"/>
    </row>
    <row r="17" spans="1:20" x14ac:dyDescent="0.25">
      <c r="A17" s="254" t="s">
        <v>16</v>
      </c>
      <c r="B17" s="263">
        <v>3</v>
      </c>
      <c r="C17" s="264">
        <v>3</v>
      </c>
      <c r="D17" s="264">
        <v>3</v>
      </c>
      <c r="E17" s="264">
        <v>3</v>
      </c>
      <c r="F17" s="264">
        <v>3</v>
      </c>
      <c r="G17" s="263">
        <v>3</v>
      </c>
      <c r="H17" s="255">
        <v>3</v>
      </c>
      <c r="I17" s="255">
        <v>3</v>
      </c>
      <c r="J17" s="255">
        <v>3</v>
      </c>
      <c r="K17" s="255">
        <v>3</v>
      </c>
      <c r="L17" s="255">
        <v>3</v>
      </c>
      <c r="M17" s="255">
        <v>3</v>
      </c>
      <c r="N17" s="258">
        <v>3</v>
      </c>
      <c r="O17" s="250"/>
      <c r="P17" s="270"/>
      <c r="Q17" s="268"/>
      <c r="R17" s="268"/>
      <c r="S17" s="268"/>
      <c r="T17" s="268"/>
    </row>
    <row r="18" spans="1:20" x14ac:dyDescent="0.25">
      <c r="A18" s="254" t="s">
        <v>17</v>
      </c>
      <c r="B18" s="257"/>
      <c r="C18" s="257">
        <v>2</v>
      </c>
      <c r="D18" s="257"/>
      <c r="E18" s="257"/>
      <c r="F18" s="257"/>
      <c r="G18" s="255"/>
      <c r="H18" s="255"/>
      <c r="I18" s="255"/>
      <c r="J18" s="255"/>
      <c r="K18" s="255"/>
      <c r="L18" s="255"/>
      <c r="M18" s="255"/>
      <c r="N18" s="258">
        <v>0.16666666666666666</v>
      </c>
      <c r="O18" s="250"/>
      <c r="P18" s="268"/>
      <c r="Q18" s="268"/>
      <c r="R18" s="268"/>
      <c r="S18" s="268"/>
      <c r="T18" s="268"/>
    </row>
    <row r="19" spans="1:20" x14ac:dyDescent="0.25">
      <c r="A19" s="254"/>
      <c r="B19" s="255"/>
      <c r="C19" s="255"/>
      <c r="D19" s="255"/>
      <c r="E19" s="255"/>
      <c r="F19" s="255"/>
      <c r="G19" s="255"/>
      <c r="H19" s="257"/>
      <c r="I19" s="255"/>
      <c r="J19" s="255"/>
      <c r="K19" s="255"/>
      <c r="L19" s="255"/>
      <c r="M19" s="255"/>
      <c r="N19" s="259"/>
      <c r="O19" s="250"/>
      <c r="P19" s="268"/>
      <c r="Q19" s="268"/>
      <c r="R19" s="268"/>
      <c r="S19" s="268"/>
      <c r="T19" s="268"/>
    </row>
    <row r="20" spans="1:20" x14ac:dyDescent="0.25">
      <c r="A20" s="252" t="s">
        <v>18</v>
      </c>
      <c r="B20" s="257">
        <v>55.4</v>
      </c>
      <c r="C20" s="257">
        <v>62.4</v>
      </c>
      <c r="D20" s="257">
        <v>61.4</v>
      </c>
      <c r="E20" s="257">
        <v>65.400000000000006</v>
      </c>
      <c r="F20" s="257">
        <v>66.400000000000006</v>
      </c>
      <c r="G20" s="257">
        <v>67.400000000000006</v>
      </c>
      <c r="H20" s="257">
        <v>70.400000000000006</v>
      </c>
      <c r="I20" s="257">
        <v>70.400000000000006</v>
      </c>
      <c r="J20" s="257">
        <v>71.400000000000006</v>
      </c>
      <c r="K20" s="257">
        <v>73.400000000000006</v>
      </c>
      <c r="L20" s="257">
        <v>73.400000000000006</v>
      </c>
      <c r="M20" s="257">
        <v>74.400000000000006</v>
      </c>
      <c r="N20" s="258">
        <v>67.649999999999991</v>
      </c>
      <c r="O20" s="250"/>
      <c r="P20" s="250"/>
      <c r="Q20" s="250"/>
      <c r="R20" s="250"/>
      <c r="S20" s="250"/>
      <c r="T20" s="250"/>
    </row>
    <row r="21" spans="1:20" x14ac:dyDescent="0.25">
      <c r="A21" s="266"/>
      <c r="B21" s="262">
        <v>2</v>
      </c>
      <c r="C21" s="266">
        <v>6</v>
      </c>
      <c r="D21" s="266">
        <v>0</v>
      </c>
      <c r="E21" s="266">
        <v>4</v>
      </c>
      <c r="F21" s="266">
        <v>1</v>
      </c>
      <c r="G21" s="266">
        <v>1</v>
      </c>
      <c r="H21" s="266">
        <v>3</v>
      </c>
      <c r="I21" s="266">
        <v>0</v>
      </c>
      <c r="J21" s="266">
        <v>1</v>
      </c>
      <c r="K21" s="266">
        <v>2</v>
      </c>
      <c r="L21" s="266">
        <v>0</v>
      </c>
      <c r="M21" s="266">
        <v>1</v>
      </c>
      <c r="N21" s="267">
        <v>21</v>
      </c>
      <c r="O21" s="250"/>
      <c r="P21" s="250"/>
      <c r="Q21" s="250"/>
      <c r="R21" s="250"/>
      <c r="S21" s="250"/>
      <c r="T21" s="250"/>
    </row>
    <row r="22" spans="1:20" x14ac:dyDescent="0.25">
      <c r="A22" s="262"/>
      <c r="B22" s="266" t="s">
        <v>104</v>
      </c>
      <c r="C22" s="251" t="s">
        <v>105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50"/>
      <c r="P22" s="250"/>
      <c r="Q22" s="250"/>
      <c r="R22" s="250"/>
      <c r="S22" s="250"/>
    </row>
    <row r="23" spans="1:20" x14ac:dyDescent="0.25">
      <c r="A23" s="262"/>
      <c r="B23" s="266"/>
      <c r="C23" s="276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98"/>
      <c r="P23" s="298"/>
      <c r="Q23" s="298"/>
      <c r="R23" s="298"/>
      <c r="S23" s="298"/>
    </row>
    <row r="24" spans="1:20" x14ac:dyDescent="0.25">
      <c r="A24" s="400" t="s">
        <v>292</v>
      </c>
      <c r="B24" s="400"/>
      <c r="C24" s="400"/>
      <c r="D24" s="400"/>
    </row>
    <row r="25" spans="1:20" s="2" customFormat="1" x14ac:dyDescent="0.25">
      <c r="A25" s="3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 t="s">
        <v>13</v>
      </c>
      <c r="N25" s="5" t="s">
        <v>14</v>
      </c>
    </row>
    <row r="26" spans="1:20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0" s="2" customFormat="1" x14ac:dyDescent="0.25">
      <c r="A27" s="5" t="s">
        <v>15</v>
      </c>
      <c r="B27" s="6">
        <f>72-17+2</f>
        <v>57</v>
      </c>
      <c r="C27" s="4">
        <v>59</v>
      </c>
      <c r="D27" s="4">
        <v>60</v>
      </c>
      <c r="E27" s="4">
        <v>60</v>
      </c>
      <c r="F27" s="4">
        <v>60</v>
      </c>
      <c r="G27" s="7">
        <v>60</v>
      </c>
      <c r="H27" s="4">
        <v>61</v>
      </c>
      <c r="I27" s="4">
        <v>61</v>
      </c>
      <c r="J27" s="4">
        <v>62</v>
      </c>
      <c r="K27" s="4">
        <v>63</v>
      </c>
      <c r="L27" s="4">
        <v>64</v>
      </c>
      <c r="M27" s="4">
        <v>66</v>
      </c>
      <c r="N27" s="8">
        <f>SUM(B27:M27)/12</f>
        <v>61.083333333333336</v>
      </c>
    </row>
    <row r="28" spans="1:20" s="2" customFormat="1" x14ac:dyDescent="0.25">
      <c r="A28" s="5" t="s">
        <v>16</v>
      </c>
      <c r="B28" s="9">
        <f>2-1</f>
        <v>1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/>
      <c r="K28" s="9">
        <v>1</v>
      </c>
      <c r="L28" s="9">
        <v>1</v>
      </c>
      <c r="M28" s="9">
        <v>1</v>
      </c>
      <c r="N28" s="10">
        <f>SUM(B28:M28)/12</f>
        <v>0.91666666666666663</v>
      </c>
    </row>
    <row r="29" spans="1:20" s="2" customFormat="1" x14ac:dyDescent="0.25">
      <c r="A29" s="5" t="s">
        <v>17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>SUM(B29:M29)/12</f>
        <v>0</v>
      </c>
    </row>
    <row r="30" spans="1:20" s="2" customFormat="1" x14ac:dyDescent="0.25">
      <c r="A30" s="5"/>
      <c r="B30" s="11"/>
      <c r="C30" s="11"/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2"/>
      <c r="O30" s="13"/>
    </row>
    <row r="31" spans="1:20" s="2" customFormat="1" x14ac:dyDescent="0.25">
      <c r="A31" s="3" t="s">
        <v>62</v>
      </c>
      <c r="B31" s="4">
        <f>B27+(B29*1.5)+(B28*0.8)</f>
        <v>57.8</v>
      </c>
      <c r="C31" s="4">
        <f>C27+(C29*1.5)+(C28*0.8)</f>
        <v>59.8</v>
      </c>
      <c r="D31" s="4">
        <f>D27+(D29*1.5)+(D28*0.8)</f>
        <v>60.8</v>
      </c>
      <c r="E31" s="4">
        <f>E27+(E29*1.5)+(E28*0.8)</f>
        <v>60.8</v>
      </c>
      <c r="F31" s="4">
        <f>F27+(F29*1.5)+(F28*0.8)</f>
        <v>60.8</v>
      </c>
      <c r="G31" s="4">
        <f t="shared" ref="G31:M31" si="1">G27+(G29*1.5)+(G28*0.8)</f>
        <v>60.8</v>
      </c>
      <c r="H31" s="4">
        <f t="shared" si="1"/>
        <v>61.8</v>
      </c>
      <c r="I31" s="4">
        <f t="shared" si="1"/>
        <v>61.8</v>
      </c>
      <c r="J31" s="4">
        <f t="shared" si="1"/>
        <v>62</v>
      </c>
      <c r="K31" s="4">
        <f t="shared" si="1"/>
        <v>63.8</v>
      </c>
      <c r="L31" s="4">
        <f t="shared" si="1"/>
        <v>64.8</v>
      </c>
      <c r="M31" s="4">
        <f t="shared" si="1"/>
        <v>66.8</v>
      </c>
      <c r="N31" s="10">
        <f>SUM(B31:M31)/12</f>
        <v>61.816666666666663</v>
      </c>
    </row>
    <row r="32" spans="1:20" s="2" customFormat="1" x14ac:dyDescent="0.25">
      <c r="A32" s="14" t="s">
        <v>19</v>
      </c>
      <c r="B32" s="15">
        <v>2</v>
      </c>
      <c r="C32" s="16">
        <v>2</v>
      </c>
      <c r="D32" s="16">
        <v>1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1</v>
      </c>
      <c r="K32" s="16">
        <v>1</v>
      </c>
      <c r="L32" s="16">
        <v>1</v>
      </c>
      <c r="M32" s="16">
        <v>2</v>
      </c>
      <c r="N32" s="17">
        <f>SUM(B32:M32)</f>
        <v>11</v>
      </c>
      <c r="O32" s="16"/>
    </row>
    <row r="33" spans="1:15" x14ac:dyDescent="0.25">
      <c r="B33" s="47" t="s">
        <v>27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5" x14ac:dyDescent="0.25">
      <c r="B34" s="47" t="s">
        <v>70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6" spans="1:15" x14ac:dyDescent="0.25">
      <c r="A36" s="358" t="s">
        <v>160</v>
      </c>
      <c r="B36" s="358"/>
      <c r="C36" s="358"/>
      <c r="D36" s="358"/>
    </row>
    <row r="37" spans="1:15" s="2" customFormat="1" x14ac:dyDescent="0.25">
      <c r="A37" s="3"/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5" t="s">
        <v>14</v>
      </c>
    </row>
    <row r="38" spans="1:15" s="2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5" s="2" customFormat="1" x14ac:dyDescent="0.25">
      <c r="A39" s="5" t="s">
        <v>15</v>
      </c>
      <c r="B39" s="6">
        <f>72-19+2</f>
        <v>55</v>
      </c>
      <c r="C39" s="4">
        <v>57</v>
      </c>
      <c r="D39" s="4">
        <v>58</v>
      </c>
      <c r="E39" s="4">
        <v>58</v>
      </c>
      <c r="F39" s="4">
        <v>58</v>
      </c>
      <c r="G39" s="7">
        <v>58</v>
      </c>
      <c r="H39" s="4">
        <v>59</v>
      </c>
      <c r="I39" s="4">
        <v>59</v>
      </c>
      <c r="J39" s="4">
        <v>60</v>
      </c>
      <c r="K39" s="4">
        <v>61</v>
      </c>
      <c r="L39" s="4">
        <v>62</v>
      </c>
      <c r="M39" s="4">
        <v>63</v>
      </c>
      <c r="N39" s="8">
        <f>SUM(B39:M39)/12</f>
        <v>59</v>
      </c>
    </row>
    <row r="40" spans="1:15" s="2" customFormat="1" x14ac:dyDescent="0.25">
      <c r="A40" s="5" t="s">
        <v>16</v>
      </c>
      <c r="B40" s="9">
        <f>4-2</f>
        <v>2</v>
      </c>
      <c r="C40" s="9">
        <f t="shared" ref="C40:M40" si="2">4-2</f>
        <v>2</v>
      </c>
      <c r="D40" s="9">
        <f t="shared" si="2"/>
        <v>2</v>
      </c>
      <c r="E40" s="9">
        <f t="shared" si="2"/>
        <v>2</v>
      </c>
      <c r="F40" s="9">
        <f t="shared" si="2"/>
        <v>2</v>
      </c>
      <c r="G40" s="9">
        <f t="shared" si="2"/>
        <v>2</v>
      </c>
      <c r="H40" s="9">
        <f t="shared" si="2"/>
        <v>2</v>
      </c>
      <c r="I40" s="9">
        <f t="shared" si="2"/>
        <v>2</v>
      </c>
      <c r="J40" s="9">
        <f t="shared" si="2"/>
        <v>2</v>
      </c>
      <c r="K40" s="9">
        <f t="shared" si="2"/>
        <v>2</v>
      </c>
      <c r="L40" s="9">
        <f t="shared" si="2"/>
        <v>2</v>
      </c>
      <c r="M40" s="9">
        <f t="shared" si="2"/>
        <v>2</v>
      </c>
      <c r="N40" s="10">
        <f>SUM(B40:M40)/12</f>
        <v>2</v>
      </c>
    </row>
    <row r="41" spans="1:15" s="2" customFormat="1" x14ac:dyDescent="0.25">
      <c r="A41" s="5" t="s">
        <v>17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SUM(B41:M41)/12</f>
        <v>0</v>
      </c>
    </row>
    <row r="42" spans="1:15" s="2" customFormat="1" x14ac:dyDescent="0.25">
      <c r="A42" s="5"/>
      <c r="B42" s="11"/>
      <c r="C42" s="11"/>
      <c r="D42" s="11"/>
      <c r="E42" s="11"/>
      <c r="F42" s="11"/>
      <c r="G42" s="11"/>
      <c r="H42" s="9"/>
      <c r="I42" s="11"/>
      <c r="J42" s="11"/>
      <c r="K42" s="11"/>
      <c r="L42" s="11"/>
      <c r="M42" s="11"/>
      <c r="N42" s="12"/>
      <c r="O42" s="13"/>
    </row>
    <row r="43" spans="1:15" s="2" customFormat="1" x14ac:dyDescent="0.25">
      <c r="A43" s="3" t="s">
        <v>62</v>
      </c>
      <c r="B43" s="4">
        <f>B39+(B41*1.5)+(B40*0.8)</f>
        <v>56.6</v>
      </c>
      <c r="C43" s="4">
        <f>C39+(C41*1.5)+(C40*0.8)</f>
        <v>58.6</v>
      </c>
      <c r="D43" s="4">
        <f>D39+(D41*1.5)+(D40*0.8)</f>
        <v>59.6</v>
      </c>
      <c r="E43" s="4">
        <f>E39+(E41*1.5)+(E40*0.8)</f>
        <v>59.6</v>
      </c>
      <c r="F43" s="4">
        <f>F39+(F41*1.5)+(F40*0.8)</f>
        <v>59.6</v>
      </c>
      <c r="G43" s="4">
        <f t="shared" ref="G43:M43" si="3">G39+(G41*1.5)+(G40*0.8)</f>
        <v>59.6</v>
      </c>
      <c r="H43" s="4">
        <f t="shared" si="3"/>
        <v>60.6</v>
      </c>
      <c r="I43" s="4">
        <f t="shared" si="3"/>
        <v>60.6</v>
      </c>
      <c r="J43" s="4">
        <f t="shared" si="3"/>
        <v>61.6</v>
      </c>
      <c r="K43" s="4">
        <f t="shared" si="3"/>
        <v>62.6</v>
      </c>
      <c r="L43" s="4">
        <f t="shared" si="3"/>
        <v>63.6</v>
      </c>
      <c r="M43" s="4">
        <f t="shared" si="3"/>
        <v>64.599999999999994</v>
      </c>
      <c r="N43" s="10">
        <f>SUM(B43:M43)/12</f>
        <v>60.600000000000016</v>
      </c>
    </row>
    <row r="44" spans="1:15" s="2" customFormat="1" x14ac:dyDescent="0.25">
      <c r="A44" s="14" t="s">
        <v>19</v>
      </c>
      <c r="B44" s="15">
        <v>2</v>
      </c>
      <c r="C44" s="16">
        <v>2</v>
      </c>
      <c r="D44" s="16">
        <v>1</v>
      </c>
      <c r="E44" s="16">
        <v>0</v>
      </c>
      <c r="F44" s="16">
        <v>0</v>
      </c>
      <c r="G44" s="16">
        <v>0</v>
      </c>
      <c r="H44" s="16">
        <v>1</v>
      </c>
      <c r="I44" s="16">
        <v>0</v>
      </c>
      <c r="J44" s="16">
        <v>1</v>
      </c>
      <c r="K44" s="16">
        <v>1</v>
      </c>
      <c r="L44" s="16">
        <v>1</v>
      </c>
      <c r="M44" s="16">
        <v>1</v>
      </c>
      <c r="N44" s="17">
        <f>SUM(B44:M44)</f>
        <v>10</v>
      </c>
      <c r="O44" s="16"/>
    </row>
    <row r="45" spans="1:15" x14ac:dyDescent="0.25">
      <c r="B45" s="47" t="s">
        <v>63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5" x14ac:dyDescent="0.25">
      <c r="B46" s="47" t="s">
        <v>123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</sheetData>
  <pageMargins left="0" right="0" top="0.15748031496062992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2014-06-03T11:00:00+00:00</MeetingStartDate>
    <EnclosureFileNumber xmlns="d08b57ff-b9b7-4581-975d-98f87b579a51">115281/13</EnclosureFileNumber>
    <AgendaId xmlns="d08b57ff-b9b7-4581-975d-98f87b579a51">2641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1365399</FusionId>
    <AgendaAccessLevelName xmlns="d08b57ff-b9b7-4581-975d-98f87b579a51">Åben</AgendaAccessLevelName>
    <UNC xmlns="d08b57ff-b9b7-4581-975d-98f87b579a51">1204073</UNC>
    <MeetingTitle xmlns="d08b57ff-b9b7-4581-975d-98f87b579a51">03-06-2014</MeetingTitle>
    <MeetingDateAndTime xmlns="d08b57ff-b9b7-4581-975d-98f87b579a51">03-06-2014 fra 13:00 - 15:45</MeetingDateAndTime>
    <MeetingEndDate xmlns="d08b57ff-b9b7-4581-975d-98f87b579a51">2014-06-03T13:45:00+00:00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B4BE921-0FEF-4D11-B0EE-EE22BD3DD262}"/>
</file>

<file path=customXml/itemProps2.xml><?xml version="1.0" encoding="utf-8"?>
<ds:datastoreItem xmlns:ds="http://schemas.openxmlformats.org/officeDocument/2006/customXml" ds:itemID="{23B6F8C1-0A14-449B-93BF-3AEE9FFAB322}"/>
</file>

<file path=customXml/itemProps3.xml><?xml version="1.0" encoding="utf-8"?>
<ds:datastoreItem xmlns:ds="http://schemas.openxmlformats.org/officeDocument/2006/customXml" ds:itemID="{83277051-6F24-4D19-80F2-A2CBFC652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Skovmusen</vt:lpstr>
      <vt:lpstr>Oksbøl bhv</vt:lpstr>
      <vt:lpstr>Billum</vt:lpstr>
      <vt:lpstr>Outrup</vt:lpstr>
      <vt:lpstr>Nr. Nebel</vt:lpstr>
      <vt:lpstr>Lunde</vt:lpstr>
      <vt:lpstr>Møllehuset</vt:lpstr>
      <vt:lpstr>Horne</vt:lpstr>
      <vt:lpstr>Ansager</vt:lpstr>
      <vt:lpstr>Starup</vt:lpstr>
      <vt:lpstr>Agerbæk</vt:lpstr>
      <vt:lpstr>Årre</vt:lpstr>
      <vt:lpstr>Ølgod</vt:lpstr>
      <vt:lpstr>Svalereden</vt:lpstr>
      <vt:lpstr>Børnehave før tid 2013</vt:lpstr>
      <vt:lpstr>OKSBØL</vt:lpstr>
      <vt:lpstr>Billum 280514</vt:lpstr>
      <vt:lpstr>Oksbøl bhv 280514</vt:lpstr>
      <vt:lpstr>Ark2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UBU-03-06-2014 - Bilag 102.02 Prognoser bhv 20142015</dc:title>
  <dc:creator>Dorthe Vogt Houmøller</dc:creator>
  <cp:lastModifiedBy>Dorthe Vogt Houmøller</cp:lastModifiedBy>
  <cp:lastPrinted>2014-05-28T07:20:01Z</cp:lastPrinted>
  <dcterms:created xsi:type="dcterms:W3CDTF">2013-08-12T09:41:03Z</dcterms:created>
  <dcterms:modified xsi:type="dcterms:W3CDTF">2014-06-03T10:30:13Z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